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codeName="ThisWorkbook" autoCompressPictures="0"/>
  <bookViews>
    <workbookView xWindow="1160" yWindow="200" windowWidth="16680" windowHeight="14600" tabRatio="833" activeTab="1"/>
  </bookViews>
  <sheets>
    <sheet name="Content List" sheetId="14" r:id="rId1"/>
    <sheet name="0 - 990-pg1" sheetId="34" r:id="rId2"/>
    <sheet name="1 - Cashflow" sheetId="46" r:id="rId3"/>
    <sheet name="2a - Balance" sheetId="45" r:id="rId4"/>
    <sheet name="2b - Monthly Balance" sheetId="13" r:id="rId5"/>
    <sheet name="3 - Grants" sheetId="5" r:id="rId6"/>
    <sheet name="4 - Monthly Pgm Exp" sheetId="39" r:id="rId7"/>
    <sheet name="5 - P&amp;L Summary" sheetId="41" r:id="rId8"/>
    <sheet name="6 - P&amp;L Program Detail" sheetId="42" r:id="rId9"/>
    <sheet name="7 - Detailed Revenue" sheetId="6" r:id="rId10"/>
    <sheet name="8 - Detailed Expenses" sheetId="56" r:id="rId11"/>
    <sheet name="9 - Beijing Co expenses" sheetId="20" r:id="rId12"/>
    <sheet name="10 - Salary &amp; Benefits Detail" sheetId="50" r:id="rId13"/>
    <sheet name="11 - 2013 Bank Balance" sheetId="47" r:id="rId14"/>
    <sheet name="12 - Equity Statement" sheetId="12" r:id="rId15"/>
    <sheet name="CALC CHECKS" sheetId="48" r:id="rId16"/>
    <sheet name="FF Grant Reports Feb13-Jan14" sheetId="51" r:id="rId17"/>
    <sheet name="GRANT REPORT 2013" sheetId="54" r:id="rId18"/>
    <sheet name="Conventions" sheetId="55" r:id="rId19"/>
    <sheet name="Expenses Jan 2014 only" sheetId="59" r:id="rId20"/>
  </sheets>
  <definedNames>
    <definedName name="_xlnm._FilterDatabase" localSheetId="12" hidden="1">'10 - Salary &amp; Benefits Detail'!#REF!</definedName>
    <definedName name="_xlnm._FilterDatabase" localSheetId="9" hidden="1">'7 - Detailed Revenue'!$G$1:$G$34</definedName>
    <definedName name="_xlnm._FilterDatabase" localSheetId="10" hidden="1">'8 - Detailed Expenses'!$A$2:$O$590</definedName>
    <definedName name="_xlnm._FilterDatabase" localSheetId="19" hidden="1">'Expenses Jan 2014 only'!#REF!</definedName>
    <definedName name="_xlnm._FilterDatabase" localSheetId="16" hidden="1">'FF Grant Reports Feb13-Jan14'!$A$2:$O$590</definedName>
    <definedName name="_xlnm.Print_Area" localSheetId="6">'4 - Monthly Pgm Exp'!$A$1:$K$18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34" l="1"/>
  <c r="E3" i="34"/>
  <c r="J241" i="47"/>
  <c r="N241" i="47"/>
  <c r="E51" i="59"/>
  <c r="C20" i="39"/>
  <c r="D20" i="39"/>
  <c r="E20" i="39"/>
  <c r="F20" i="39"/>
  <c r="G20" i="39"/>
  <c r="H20" i="39"/>
  <c r="I20" i="39"/>
  <c r="B20" i="39"/>
  <c r="F5" i="39"/>
  <c r="G5" i="39"/>
  <c r="H5" i="39"/>
  <c r="I5" i="39"/>
  <c r="J5" i="39"/>
  <c r="F6" i="39"/>
  <c r="G6" i="39"/>
  <c r="H6" i="39"/>
  <c r="I6" i="39"/>
  <c r="J6" i="39"/>
  <c r="F7" i="39"/>
  <c r="G7" i="39"/>
  <c r="H7" i="39"/>
  <c r="I7" i="39"/>
  <c r="J7" i="39"/>
  <c r="F8" i="39"/>
  <c r="G8" i="39"/>
  <c r="H8" i="39"/>
  <c r="I8" i="39"/>
  <c r="J8" i="39"/>
  <c r="F9" i="39"/>
  <c r="G9" i="39"/>
  <c r="H9" i="39"/>
  <c r="I9" i="39"/>
  <c r="J9" i="39"/>
  <c r="F10" i="39"/>
  <c r="G10" i="39"/>
  <c r="H10" i="39"/>
  <c r="I10" i="39"/>
  <c r="J10" i="39"/>
  <c r="F11" i="39"/>
  <c r="G11" i="39"/>
  <c r="H11" i="39"/>
  <c r="I11" i="39"/>
  <c r="J11" i="39"/>
  <c r="F12" i="39"/>
  <c r="G12" i="39"/>
  <c r="H12" i="39"/>
  <c r="I12" i="39"/>
  <c r="J12" i="39"/>
  <c r="F13" i="39"/>
  <c r="G13" i="39"/>
  <c r="H13" i="39"/>
  <c r="I13" i="39"/>
  <c r="J13" i="39"/>
  <c r="F14" i="39"/>
  <c r="G14" i="39"/>
  <c r="H14" i="39"/>
  <c r="I14" i="39"/>
  <c r="J14" i="39"/>
  <c r="F15" i="39"/>
  <c r="G15" i="39"/>
  <c r="H15" i="39"/>
  <c r="I15" i="39"/>
  <c r="J15" i="39"/>
  <c r="F16" i="39"/>
  <c r="G16" i="39"/>
  <c r="H16" i="39"/>
  <c r="I16" i="39"/>
  <c r="J16" i="39"/>
  <c r="B5" i="39"/>
  <c r="B6" i="39"/>
  <c r="B7" i="39"/>
  <c r="B8" i="39"/>
  <c r="B9" i="39"/>
  <c r="B10" i="39"/>
  <c r="B11" i="39"/>
  <c r="B12" i="39"/>
  <c r="B13" i="39"/>
  <c r="B14" i="39"/>
  <c r="B15" i="39"/>
  <c r="B16" i="39"/>
  <c r="C5" i="39"/>
  <c r="C6" i="39"/>
  <c r="C7" i="39"/>
  <c r="C8" i="39"/>
  <c r="C9" i="39"/>
  <c r="C10" i="39"/>
  <c r="C11" i="39"/>
  <c r="C12" i="39"/>
  <c r="C13" i="39"/>
  <c r="C14" i="39"/>
  <c r="C15" i="39"/>
  <c r="C16" i="39"/>
  <c r="D5" i="39"/>
  <c r="D6" i="39"/>
  <c r="D7" i="39"/>
  <c r="D8" i="39"/>
  <c r="D9" i="39"/>
  <c r="D10" i="39"/>
  <c r="D11" i="39"/>
  <c r="D12" i="39"/>
  <c r="D13" i="39"/>
  <c r="D14" i="39"/>
  <c r="D15" i="39"/>
  <c r="D16" i="39"/>
  <c r="E5" i="39"/>
  <c r="E6" i="39"/>
  <c r="E7" i="39"/>
  <c r="E8" i="39"/>
  <c r="E9" i="39"/>
  <c r="E10" i="39"/>
  <c r="E11" i="39"/>
  <c r="E12" i="39"/>
  <c r="E13" i="39"/>
  <c r="E14" i="39"/>
  <c r="E15" i="39"/>
  <c r="E16" i="39"/>
  <c r="C4" i="20"/>
  <c r="D4" i="20"/>
  <c r="C5" i="20"/>
  <c r="D5" i="20"/>
  <c r="C6" i="20"/>
  <c r="D6" i="20"/>
  <c r="C7" i="20"/>
  <c r="D7" i="20"/>
  <c r="D37" i="20"/>
  <c r="F37" i="20"/>
  <c r="F33" i="20"/>
  <c r="F32" i="20"/>
  <c r="F30" i="20"/>
  <c r="F28" i="20"/>
  <c r="F26" i="20"/>
  <c r="F25" i="20"/>
  <c r="F23" i="20"/>
  <c r="F22" i="20"/>
  <c r="F20" i="20"/>
  <c r="F16" i="20"/>
  <c r="F15" i="20"/>
  <c r="F14" i="20"/>
  <c r="F13" i="20"/>
  <c r="F12" i="20"/>
  <c r="F10" i="20"/>
  <c r="F8" i="20"/>
  <c r="C37" i="20"/>
  <c r="B37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B4" i="20"/>
  <c r="B5" i="20"/>
  <c r="B6" i="20"/>
  <c r="B7" i="20"/>
  <c r="E24" i="56"/>
  <c r="E25" i="56"/>
  <c r="E33" i="56"/>
  <c r="E34" i="56"/>
  <c r="E2" i="56"/>
  <c r="E3" i="56"/>
  <c r="E4" i="56"/>
  <c r="E5" i="56"/>
  <c r="E6" i="56"/>
  <c r="E7" i="56"/>
  <c r="E8" i="56"/>
  <c r="E9" i="56"/>
  <c r="E10" i="56"/>
  <c r="E11" i="56"/>
  <c r="E12" i="56"/>
  <c r="E13" i="56"/>
  <c r="E14" i="56"/>
  <c r="E15" i="56"/>
  <c r="E16" i="56"/>
  <c r="E17" i="56"/>
  <c r="E18" i="56"/>
  <c r="E19" i="56"/>
  <c r="E20" i="56"/>
  <c r="E21" i="56"/>
  <c r="E22" i="56"/>
  <c r="E23" i="56"/>
  <c r="E26" i="56"/>
  <c r="E27" i="56"/>
  <c r="E28" i="56"/>
  <c r="E29" i="56"/>
  <c r="E30" i="56"/>
  <c r="E31" i="56"/>
  <c r="E32" i="56"/>
  <c r="E35" i="56"/>
  <c r="E36" i="56"/>
  <c r="E37" i="56"/>
  <c r="E38" i="56"/>
  <c r="E39" i="56"/>
  <c r="E40" i="56"/>
  <c r="E41" i="56"/>
  <c r="E42" i="56"/>
  <c r="E43" i="56"/>
  <c r="E44" i="56"/>
  <c r="E45" i="56"/>
  <c r="E46" i="56"/>
  <c r="E47" i="56"/>
  <c r="E48" i="56"/>
  <c r="E49" i="56"/>
  <c r="E50" i="56"/>
  <c r="E51" i="56"/>
  <c r="E52" i="56"/>
  <c r="E53" i="56"/>
  <c r="E54" i="56"/>
  <c r="E55" i="56"/>
  <c r="E56" i="56"/>
  <c r="E57" i="56"/>
  <c r="E58" i="56"/>
  <c r="E59" i="56"/>
  <c r="E60" i="56"/>
  <c r="E61" i="56"/>
  <c r="E62" i="56"/>
  <c r="E63" i="56"/>
  <c r="E64" i="56"/>
  <c r="E65" i="56"/>
  <c r="E66" i="56"/>
  <c r="E67" i="56"/>
  <c r="E68" i="56"/>
  <c r="E69" i="56"/>
  <c r="E70" i="56"/>
  <c r="E71" i="56"/>
  <c r="E72" i="56"/>
  <c r="E73" i="56"/>
  <c r="E74" i="56"/>
  <c r="E75" i="56"/>
  <c r="E76" i="56"/>
  <c r="E77" i="56"/>
  <c r="E79" i="56"/>
  <c r="E80" i="56"/>
  <c r="E81" i="56"/>
  <c r="E82" i="56"/>
  <c r="E83" i="56"/>
  <c r="E84" i="56"/>
  <c r="E85" i="56"/>
  <c r="E86" i="56"/>
  <c r="E87" i="56"/>
  <c r="E88" i="56"/>
  <c r="E89" i="56"/>
  <c r="E90" i="56"/>
  <c r="E91" i="56"/>
  <c r="E92" i="56"/>
  <c r="E93" i="56"/>
  <c r="E94" i="56"/>
  <c r="E95" i="56"/>
  <c r="E96" i="56"/>
  <c r="E97" i="56"/>
  <c r="E98" i="56"/>
  <c r="E99" i="56"/>
  <c r="E100" i="56"/>
  <c r="E101" i="56"/>
  <c r="E102" i="56"/>
  <c r="E103" i="56"/>
  <c r="E104" i="56"/>
  <c r="E105" i="56"/>
  <c r="E106" i="56"/>
  <c r="E107" i="56"/>
  <c r="E108" i="56"/>
  <c r="E109" i="56"/>
  <c r="E110" i="56"/>
  <c r="E111" i="56"/>
  <c r="E112" i="56"/>
  <c r="E113" i="56"/>
  <c r="E114" i="56"/>
  <c r="E115" i="56"/>
  <c r="E116" i="56"/>
  <c r="E117" i="56"/>
  <c r="E118" i="56"/>
  <c r="E119" i="56"/>
  <c r="E120" i="56"/>
  <c r="E121" i="56"/>
  <c r="E122" i="56"/>
  <c r="E123" i="56"/>
  <c r="E124" i="56"/>
  <c r="E125" i="56"/>
  <c r="E126" i="56"/>
  <c r="E127" i="56"/>
  <c r="E128" i="56"/>
  <c r="E129" i="56"/>
  <c r="E130" i="56"/>
  <c r="E131" i="56"/>
  <c r="E132" i="56"/>
  <c r="E133" i="56"/>
  <c r="E134" i="56"/>
  <c r="E135" i="56"/>
  <c r="E136" i="56"/>
  <c r="E137" i="56"/>
  <c r="E138" i="56"/>
  <c r="E139" i="56"/>
  <c r="E140" i="56"/>
  <c r="E141" i="56"/>
  <c r="E142" i="56"/>
  <c r="E143" i="56"/>
  <c r="E144" i="56"/>
  <c r="E145" i="56"/>
  <c r="E146" i="56"/>
  <c r="E147" i="56"/>
  <c r="E148" i="56"/>
  <c r="E149" i="56"/>
  <c r="E150" i="56"/>
  <c r="E151" i="56"/>
  <c r="E152" i="56"/>
  <c r="E153" i="56"/>
  <c r="E154" i="56"/>
  <c r="E155" i="56"/>
  <c r="E156" i="56"/>
  <c r="E157" i="56"/>
  <c r="E158" i="56"/>
  <c r="E159" i="56"/>
  <c r="E160" i="56"/>
  <c r="E161" i="56"/>
  <c r="E162" i="56"/>
  <c r="E163" i="56"/>
  <c r="E164" i="56"/>
  <c r="E165" i="56"/>
  <c r="E166" i="56"/>
  <c r="E167" i="56"/>
  <c r="E168" i="56"/>
  <c r="E169" i="56"/>
  <c r="E170" i="56"/>
  <c r="E171" i="56"/>
  <c r="E172" i="56"/>
  <c r="E173" i="56"/>
  <c r="E174" i="56"/>
  <c r="E175" i="56"/>
  <c r="E178" i="56"/>
  <c r="E179" i="56"/>
  <c r="E180" i="56"/>
  <c r="E181" i="56"/>
  <c r="E182" i="56"/>
  <c r="E183" i="56"/>
  <c r="E184" i="56"/>
  <c r="E185" i="56"/>
  <c r="E186" i="56"/>
  <c r="E187" i="56"/>
  <c r="E188" i="56"/>
  <c r="E189" i="56"/>
  <c r="E190" i="56"/>
  <c r="E191" i="56"/>
  <c r="E192" i="56"/>
  <c r="E193" i="56"/>
  <c r="E194" i="56"/>
  <c r="E195" i="56"/>
  <c r="E196" i="56"/>
  <c r="E197" i="56"/>
  <c r="E198" i="56"/>
  <c r="E199" i="56"/>
  <c r="E200" i="56"/>
  <c r="E201" i="56"/>
  <c r="E202" i="56"/>
  <c r="E203" i="56"/>
  <c r="E204" i="56"/>
  <c r="E205" i="56"/>
  <c r="E206" i="56"/>
  <c r="E207" i="56"/>
  <c r="E208" i="56"/>
  <c r="E209" i="56"/>
  <c r="E210" i="56"/>
  <c r="E211" i="56"/>
  <c r="E212" i="56"/>
  <c r="E213" i="56"/>
  <c r="E214" i="56"/>
  <c r="E215" i="56"/>
  <c r="E216" i="56"/>
  <c r="E217" i="56"/>
  <c r="E218" i="56"/>
  <c r="E219" i="56"/>
  <c r="E220" i="56"/>
  <c r="E221" i="56"/>
  <c r="E222" i="56"/>
  <c r="E223" i="56"/>
  <c r="E224" i="56"/>
  <c r="E225" i="56"/>
  <c r="E226" i="56"/>
  <c r="E227" i="56"/>
  <c r="E228" i="56"/>
  <c r="E229" i="56"/>
  <c r="E230" i="56"/>
  <c r="E231" i="56"/>
  <c r="E232" i="56"/>
  <c r="E233" i="56"/>
  <c r="E234" i="56"/>
  <c r="E235" i="56"/>
  <c r="E236" i="56"/>
  <c r="E237" i="56"/>
  <c r="E238" i="56"/>
  <c r="E239" i="56"/>
  <c r="E240" i="56"/>
  <c r="E241" i="56"/>
  <c r="E242" i="56"/>
  <c r="E243" i="56"/>
  <c r="E244" i="56"/>
  <c r="E245" i="56"/>
  <c r="E246" i="56"/>
  <c r="E247" i="56"/>
  <c r="E248" i="56"/>
  <c r="E249" i="56"/>
  <c r="E251" i="56"/>
  <c r="E252" i="56"/>
  <c r="E253" i="56"/>
  <c r="E254" i="56"/>
  <c r="E255" i="56"/>
  <c r="E256" i="56"/>
  <c r="E257" i="56"/>
  <c r="E262" i="56"/>
  <c r="E263" i="56"/>
  <c r="E267" i="56"/>
  <c r="E268" i="56"/>
  <c r="E270" i="56"/>
  <c r="E271" i="56"/>
  <c r="E272" i="56"/>
  <c r="E273" i="56"/>
  <c r="E277" i="56"/>
  <c r="E290" i="56"/>
  <c r="E297" i="56"/>
  <c r="E298" i="56"/>
  <c r="E299" i="56"/>
  <c r="E300" i="56"/>
  <c r="E301" i="56"/>
  <c r="E302" i="56"/>
  <c r="E303" i="56"/>
  <c r="E305" i="56"/>
  <c r="E307" i="56"/>
  <c r="E308" i="56"/>
  <c r="E309" i="56"/>
  <c r="E310" i="56"/>
  <c r="E311" i="56"/>
  <c r="E312" i="56"/>
  <c r="E313" i="56"/>
  <c r="E314" i="56"/>
  <c r="E315" i="56"/>
  <c r="E316" i="56"/>
  <c r="E317" i="56"/>
  <c r="E318" i="56"/>
  <c r="E319" i="56"/>
  <c r="E320" i="56"/>
  <c r="E321" i="56"/>
  <c r="E322" i="56"/>
  <c r="E324" i="56"/>
  <c r="E325" i="56"/>
  <c r="E326" i="56"/>
  <c r="E327" i="56"/>
  <c r="E328" i="56"/>
  <c r="E329" i="56"/>
  <c r="E330" i="56"/>
  <c r="E331" i="56"/>
  <c r="E332" i="56"/>
  <c r="E333" i="56"/>
  <c r="E334" i="56"/>
  <c r="E335" i="56"/>
  <c r="E337" i="56"/>
  <c r="E338" i="56"/>
  <c r="E339" i="56"/>
  <c r="E340" i="56"/>
  <c r="E342" i="56"/>
  <c r="E343" i="56"/>
  <c r="E344" i="56"/>
  <c r="E345" i="56"/>
  <c r="E346" i="56"/>
  <c r="E347" i="56"/>
  <c r="E348" i="56"/>
  <c r="E349" i="56"/>
  <c r="E352" i="56"/>
  <c r="E353" i="56"/>
  <c r="E365" i="56"/>
  <c r="E366" i="56"/>
  <c r="E367" i="56"/>
  <c r="E368" i="56"/>
  <c r="E369" i="56"/>
  <c r="E370" i="56"/>
  <c r="E371" i="56"/>
  <c r="E372" i="56"/>
  <c r="E373" i="56"/>
  <c r="E374" i="56"/>
  <c r="E375" i="56"/>
  <c r="E376" i="56"/>
  <c r="E377" i="56"/>
  <c r="E378" i="56"/>
  <c r="E379" i="56"/>
  <c r="E380" i="56"/>
  <c r="E382" i="56"/>
  <c r="E383" i="56"/>
  <c r="E384" i="56"/>
  <c r="E385" i="56"/>
  <c r="E386" i="56"/>
  <c r="E387" i="56"/>
  <c r="E388" i="56"/>
  <c r="E390" i="56"/>
  <c r="E391" i="56"/>
  <c r="E392" i="56"/>
  <c r="E393" i="56"/>
  <c r="E394" i="56"/>
  <c r="E395" i="56"/>
  <c r="E396" i="56"/>
  <c r="E397" i="56"/>
  <c r="E398" i="56"/>
  <c r="E401" i="56"/>
  <c r="E402" i="56"/>
  <c r="E403" i="56"/>
  <c r="E407" i="56"/>
  <c r="E413" i="56"/>
  <c r="E420" i="56"/>
  <c r="E421" i="56"/>
  <c r="E422" i="56"/>
  <c r="E423" i="56"/>
  <c r="E424" i="56"/>
  <c r="E425" i="56"/>
  <c r="E426" i="56"/>
  <c r="E427" i="56"/>
  <c r="E428" i="56"/>
  <c r="E429" i="56"/>
  <c r="E430" i="56"/>
  <c r="E431" i="56"/>
  <c r="E432" i="56"/>
  <c r="E433" i="56"/>
  <c r="E434" i="56"/>
  <c r="E435" i="56"/>
  <c r="E437" i="56"/>
  <c r="E439" i="56"/>
  <c r="E440" i="56"/>
  <c r="E441" i="56"/>
  <c r="E442" i="56"/>
  <c r="E443" i="56"/>
  <c r="E444" i="56"/>
  <c r="E445" i="56"/>
  <c r="E446" i="56"/>
  <c r="E447" i="56"/>
  <c r="E448" i="56"/>
  <c r="E451" i="56"/>
  <c r="E453" i="56"/>
  <c r="E454" i="56"/>
  <c r="E455" i="56"/>
  <c r="E456" i="56"/>
  <c r="E457" i="56"/>
  <c r="E458" i="56"/>
  <c r="E459" i="56"/>
  <c r="E460" i="56"/>
  <c r="E461" i="56"/>
  <c r="E462" i="56"/>
  <c r="E463" i="56"/>
  <c r="E464" i="56"/>
  <c r="E465" i="56"/>
  <c r="E468" i="56"/>
  <c r="E469" i="56"/>
  <c r="E470" i="56"/>
  <c r="E471" i="56"/>
  <c r="E472" i="56"/>
  <c r="E473" i="56"/>
  <c r="E474" i="56"/>
  <c r="E475" i="56"/>
  <c r="E476" i="56"/>
  <c r="E477" i="56"/>
  <c r="E479" i="56"/>
  <c r="E481" i="56"/>
  <c r="E482" i="56"/>
  <c r="E483" i="56"/>
  <c r="E484" i="56"/>
  <c r="E485" i="56"/>
  <c r="E486" i="56"/>
  <c r="E487" i="56"/>
  <c r="E488" i="56"/>
  <c r="E489" i="56"/>
  <c r="E490" i="56"/>
  <c r="E491" i="56"/>
  <c r="E493" i="56"/>
  <c r="E494" i="56"/>
  <c r="E495" i="56"/>
  <c r="E496" i="56"/>
  <c r="E498" i="56"/>
  <c r="E500" i="56"/>
  <c r="E502" i="56"/>
  <c r="E503" i="56"/>
  <c r="E504" i="56"/>
  <c r="E505" i="56"/>
  <c r="E506" i="56"/>
  <c r="E507" i="56"/>
  <c r="E508" i="56"/>
  <c r="E509" i="56"/>
  <c r="E511" i="56"/>
  <c r="E512" i="56"/>
  <c r="E513" i="56"/>
  <c r="E514" i="56"/>
  <c r="E515" i="56"/>
  <c r="E518" i="56"/>
  <c r="E519" i="56"/>
  <c r="E520" i="56"/>
  <c r="E523" i="56"/>
  <c r="E524" i="56"/>
  <c r="E526" i="56"/>
  <c r="E535" i="56"/>
  <c r="E545" i="56"/>
  <c r="E546" i="56"/>
  <c r="E547" i="56"/>
  <c r="E548" i="56"/>
  <c r="E549" i="56"/>
  <c r="E550" i="56"/>
  <c r="E551" i="56"/>
  <c r="E552" i="56"/>
  <c r="E553" i="56"/>
  <c r="E554" i="56"/>
  <c r="E555" i="56"/>
  <c r="E556" i="56"/>
  <c r="E557" i="56"/>
  <c r="E558" i="56"/>
  <c r="E559" i="56"/>
  <c r="E561" i="56"/>
  <c r="E562" i="56"/>
  <c r="E563" i="56"/>
  <c r="E564" i="56"/>
  <c r="E565" i="56"/>
  <c r="E566" i="56"/>
  <c r="E567" i="56"/>
  <c r="E568" i="56"/>
  <c r="E569" i="56"/>
  <c r="E570" i="56"/>
  <c r="E573" i="56"/>
  <c r="E574" i="56"/>
  <c r="E575" i="56"/>
  <c r="E576" i="56"/>
  <c r="E577" i="56"/>
  <c r="E578" i="56"/>
  <c r="E579" i="56"/>
  <c r="E580" i="56"/>
  <c r="E582" i="56"/>
  <c r="E583" i="56"/>
  <c r="E584" i="56"/>
  <c r="E585" i="56"/>
  <c r="E586" i="56"/>
  <c r="E587" i="56"/>
  <c r="E589" i="56"/>
  <c r="E590" i="56"/>
  <c r="E592" i="56"/>
  <c r="E593" i="56"/>
  <c r="E594" i="56"/>
  <c r="E595" i="56"/>
  <c r="E596" i="56"/>
  <c r="E597" i="56"/>
  <c r="E599" i="56"/>
  <c r="E600" i="56"/>
  <c r="E602" i="56"/>
  <c r="E604" i="56"/>
  <c r="E606" i="56"/>
  <c r="E608" i="56"/>
  <c r="E609" i="56"/>
  <c r="E612" i="56"/>
  <c r="E613" i="56"/>
  <c r="E616" i="56"/>
  <c r="E617" i="56"/>
  <c r="E618" i="56"/>
  <c r="E619" i="56"/>
  <c r="E623" i="56"/>
  <c r="E624" i="56"/>
  <c r="E625" i="56"/>
  <c r="E626" i="56"/>
  <c r="E627" i="56"/>
  <c r="E628" i="56"/>
  <c r="E629" i="56"/>
  <c r="E630" i="56"/>
  <c r="E631" i="56"/>
  <c r="E632" i="56"/>
  <c r="E633" i="56"/>
  <c r="E634" i="56"/>
  <c r="E636" i="56"/>
  <c r="E637" i="56"/>
  <c r="E642" i="56"/>
  <c r="E643" i="56"/>
  <c r="E644" i="56"/>
  <c r="E646" i="56"/>
  <c r="E647" i="56"/>
  <c r="E648" i="56"/>
  <c r="E649" i="56"/>
  <c r="E651" i="56"/>
  <c r="E654" i="56"/>
  <c r="E655" i="56"/>
  <c r="E656" i="56"/>
  <c r="E657" i="56"/>
  <c r="E658" i="56"/>
  <c r="E659" i="56"/>
  <c r="E661" i="56"/>
  <c r="E663" i="56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B30" i="20"/>
  <c r="C30" i="20"/>
  <c r="D30" i="20"/>
  <c r="B31" i="20"/>
  <c r="C31" i="20"/>
  <c r="D31" i="20"/>
  <c r="B32" i="20"/>
  <c r="C32" i="20"/>
  <c r="D32" i="20"/>
  <c r="B33" i="20"/>
  <c r="C33" i="20"/>
  <c r="D33" i="20"/>
  <c r="B34" i="20"/>
  <c r="C34" i="20"/>
  <c r="D34" i="20"/>
  <c r="B35" i="20"/>
  <c r="C35" i="20"/>
  <c r="D35" i="20"/>
  <c r="D667" i="56"/>
  <c r="D15" i="13"/>
  <c r="D668" i="56"/>
  <c r="E15" i="13"/>
  <c r="D669" i="56"/>
  <c r="F15" i="13"/>
  <c r="D670" i="56"/>
  <c r="G15" i="13"/>
  <c r="D671" i="56"/>
  <c r="H15" i="13"/>
  <c r="D672" i="56"/>
  <c r="I15" i="13"/>
  <c r="D673" i="56"/>
  <c r="J15" i="13"/>
  <c r="D674" i="56"/>
  <c r="K15" i="13"/>
  <c r="D675" i="56"/>
  <c r="L15" i="13"/>
  <c r="D676" i="56"/>
  <c r="M15" i="13"/>
  <c r="D677" i="56"/>
  <c r="N15" i="13"/>
  <c r="D678" i="56"/>
  <c r="O15" i="13"/>
  <c r="O17" i="13"/>
  <c r="K5" i="39"/>
  <c r="I4" i="12"/>
  <c r="I5" i="12"/>
  <c r="I8" i="12"/>
  <c r="D27" i="13"/>
  <c r="E27" i="13"/>
  <c r="F27" i="13"/>
  <c r="G27" i="13"/>
  <c r="H27" i="13"/>
  <c r="I27" i="13"/>
  <c r="J27" i="13"/>
  <c r="K27" i="13"/>
  <c r="L27" i="13"/>
  <c r="M27" i="13"/>
  <c r="N27" i="13"/>
  <c r="O27" i="13"/>
  <c r="K6" i="39"/>
  <c r="J4" i="12"/>
  <c r="J5" i="12"/>
  <c r="J8" i="12"/>
  <c r="E28" i="13"/>
  <c r="F28" i="13"/>
  <c r="G28" i="13"/>
  <c r="H28" i="13"/>
  <c r="I28" i="13"/>
  <c r="J28" i="13"/>
  <c r="K28" i="13"/>
  <c r="L28" i="13"/>
  <c r="M28" i="13"/>
  <c r="N28" i="13"/>
  <c r="O28" i="13"/>
  <c r="K7" i="39"/>
  <c r="K4" i="12"/>
  <c r="K5" i="12"/>
  <c r="K8" i="12"/>
  <c r="F29" i="13"/>
  <c r="G29" i="13"/>
  <c r="H29" i="13"/>
  <c r="I29" i="13"/>
  <c r="J29" i="13"/>
  <c r="K29" i="13"/>
  <c r="L29" i="13"/>
  <c r="M29" i="13"/>
  <c r="N29" i="13"/>
  <c r="O29" i="13"/>
  <c r="K8" i="39"/>
  <c r="L4" i="12"/>
  <c r="L5" i="12"/>
  <c r="L8" i="12"/>
  <c r="G30" i="13"/>
  <c r="H30" i="13"/>
  <c r="I30" i="13"/>
  <c r="J30" i="13"/>
  <c r="K30" i="13"/>
  <c r="L30" i="13"/>
  <c r="M30" i="13"/>
  <c r="N30" i="13"/>
  <c r="O30" i="13"/>
  <c r="K9" i="39"/>
  <c r="M4" i="12"/>
  <c r="M5" i="12"/>
  <c r="M8" i="12"/>
  <c r="H31" i="13"/>
  <c r="I31" i="13"/>
  <c r="J31" i="13"/>
  <c r="K31" i="13"/>
  <c r="L31" i="13"/>
  <c r="M31" i="13"/>
  <c r="N31" i="13"/>
  <c r="O31" i="13"/>
  <c r="K10" i="39"/>
  <c r="N4" i="12"/>
  <c r="N5" i="12"/>
  <c r="N8" i="12"/>
  <c r="I32" i="13"/>
  <c r="J32" i="13"/>
  <c r="K32" i="13"/>
  <c r="L32" i="13"/>
  <c r="M32" i="13"/>
  <c r="N32" i="13"/>
  <c r="O32" i="13"/>
  <c r="K11" i="39"/>
  <c r="O4" i="12"/>
  <c r="O5" i="12"/>
  <c r="O8" i="12"/>
  <c r="J33" i="13"/>
  <c r="K33" i="13"/>
  <c r="L33" i="13"/>
  <c r="M33" i="13"/>
  <c r="N33" i="13"/>
  <c r="O33" i="13"/>
  <c r="K12" i="39"/>
  <c r="P4" i="12"/>
  <c r="P5" i="12"/>
  <c r="P8" i="12"/>
  <c r="K34" i="13"/>
  <c r="L34" i="13"/>
  <c r="M34" i="13"/>
  <c r="N34" i="13"/>
  <c r="O34" i="13"/>
  <c r="K13" i="39"/>
  <c r="Q4" i="12"/>
  <c r="Q5" i="12"/>
  <c r="Q8" i="12"/>
  <c r="L35" i="13"/>
  <c r="M35" i="13"/>
  <c r="N35" i="13"/>
  <c r="O35" i="13"/>
  <c r="K14" i="39"/>
  <c r="R4" i="12"/>
  <c r="R5" i="12"/>
  <c r="R8" i="12"/>
  <c r="M36" i="13"/>
  <c r="N36" i="13"/>
  <c r="O36" i="13"/>
  <c r="K16" i="39"/>
  <c r="T4" i="12"/>
  <c r="T5" i="12"/>
  <c r="T8" i="12"/>
  <c r="O38" i="13"/>
  <c r="O39" i="13"/>
  <c r="O40" i="13"/>
  <c r="O241" i="47"/>
  <c r="O7" i="13"/>
  <c r="O8" i="13"/>
  <c r="D8" i="45"/>
  <c r="D7" i="45"/>
  <c r="D9" i="45"/>
  <c r="D10" i="45"/>
  <c r="E15" i="34"/>
  <c r="D15" i="45"/>
  <c r="D17" i="45"/>
  <c r="E16" i="34"/>
  <c r="E17" i="34"/>
  <c r="B6" i="48"/>
  <c r="D27" i="45"/>
  <c r="D28" i="45"/>
  <c r="C6" i="48"/>
  <c r="D6" i="48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8" i="42"/>
  <c r="F51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8" i="42"/>
  <c r="C51" i="42"/>
  <c r="H18" i="46"/>
  <c r="C27" i="54"/>
  <c r="C26" i="54"/>
  <c r="E589" i="51"/>
  <c r="E588" i="51"/>
  <c r="E587" i="51"/>
  <c r="E586" i="51"/>
  <c r="E585" i="51"/>
  <c r="E584" i="51"/>
  <c r="E581" i="51"/>
  <c r="E579" i="51"/>
  <c r="E578" i="51"/>
  <c r="E577" i="51"/>
  <c r="E576" i="51"/>
  <c r="E575" i="51"/>
  <c r="E574" i="51"/>
  <c r="E573" i="51"/>
  <c r="E571" i="51"/>
  <c r="E570" i="51"/>
  <c r="E569" i="51"/>
  <c r="E568" i="51"/>
  <c r="E563" i="51"/>
  <c r="E562" i="51"/>
  <c r="E561" i="51"/>
  <c r="E559" i="51"/>
  <c r="E558" i="51"/>
  <c r="E556" i="51"/>
  <c r="E555" i="51"/>
  <c r="E554" i="51"/>
  <c r="E553" i="51"/>
  <c r="E552" i="51"/>
  <c r="E551" i="51"/>
  <c r="E550" i="51"/>
  <c r="E549" i="51"/>
  <c r="E548" i="51"/>
  <c r="E547" i="51"/>
  <c r="E546" i="51"/>
  <c r="E545" i="51"/>
  <c r="E544" i="51"/>
  <c r="E543" i="51"/>
  <c r="E542" i="51"/>
  <c r="E541" i="51"/>
  <c r="E540" i="51"/>
  <c r="E539" i="51"/>
  <c r="E537" i="51"/>
  <c r="E437" i="51"/>
  <c r="E438" i="51"/>
  <c r="E439" i="51"/>
  <c r="E440" i="51"/>
  <c r="E441" i="51"/>
  <c r="E442" i="51"/>
  <c r="E443" i="51"/>
  <c r="E444" i="51"/>
  <c r="E445" i="51"/>
  <c r="E446" i="51"/>
  <c r="E447" i="51"/>
  <c r="E448" i="51"/>
  <c r="E449" i="51"/>
  <c r="E450" i="51"/>
  <c r="E451" i="51"/>
  <c r="E452" i="51"/>
  <c r="E453" i="51"/>
  <c r="E454" i="51"/>
  <c r="E457" i="51"/>
  <c r="E458" i="51"/>
  <c r="E459" i="51"/>
  <c r="E460" i="51"/>
  <c r="E461" i="51"/>
  <c r="E462" i="51"/>
  <c r="E463" i="51"/>
  <c r="E464" i="51"/>
  <c r="E465" i="51"/>
  <c r="E466" i="51"/>
  <c r="E467" i="51"/>
  <c r="E468" i="51"/>
  <c r="E469" i="51"/>
  <c r="E470" i="51"/>
  <c r="E471" i="51"/>
  <c r="E472" i="51"/>
  <c r="E473" i="51"/>
  <c r="E474" i="51"/>
  <c r="E475" i="51"/>
  <c r="E476" i="51"/>
  <c r="E477" i="51"/>
  <c r="E479" i="51"/>
  <c r="E480" i="51"/>
  <c r="E481" i="51"/>
  <c r="E482" i="51"/>
  <c r="E483" i="51"/>
  <c r="E484" i="51"/>
  <c r="E485" i="51"/>
  <c r="E486" i="51"/>
  <c r="E487" i="51"/>
  <c r="E488" i="51"/>
  <c r="E489" i="51"/>
  <c r="E490" i="51"/>
  <c r="E491" i="51"/>
  <c r="E493" i="51"/>
  <c r="E494" i="51"/>
  <c r="E496" i="51"/>
  <c r="E497" i="51"/>
  <c r="E498" i="51"/>
  <c r="E499" i="51"/>
  <c r="E500" i="51"/>
  <c r="E501" i="51"/>
  <c r="E502" i="51"/>
  <c r="E503" i="51"/>
  <c r="E504" i="51"/>
  <c r="E505" i="51"/>
  <c r="E506" i="51"/>
  <c r="E507" i="51"/>
  <c r="E508" i="51"/>
  <c r="E509" i="51"/>
  <c r="E511" i="51"/>
  <c r="E512" i="51"/>
  <c r="E514" i="51"/>
  <c r="E516" i="51"/>
  <c r="E518" i="51"/>
  <c r="E520" i="51"/>
  <c r="E521" i="51"/>
  <c r="E524" i="51"/>
  <c r="E525" i="51"/>
  <c r="E528" i="51"/>
  <c r="E529" i="51"/>
  <c r="E530" i="51"/>
  <c r="E531" i="51"/>
  <c r="E532" i="51"/>
  <c r="E533" i="51"/>
  <c r="E534" i="51"/>
  <c r="L536" i="51"/>
  <c r="E436" i="51"/>
  <c r="E435" i="51"/>
  <c r="E434" i="51"/>
  <c r="E433" i="51"/>
  <c r="E432" i="51"/>
  <c r="E431" i="51"/>
  <c r="E430" i="51"/>
  <c r="E428" i="51"/>
  <c r="E427" i="51"/>
  <c r="E426" i="51"/>
  <c r="E425" i="51"/>
  <c r="E424" i="51"/>
  <c r="E423" i="51"/>
  <c r="E422" i="51"/>
  <c r="E421" i="51"/>
  <c r="E420" i="51"/>
  <c r="E419" i="51"/>
  <c r="E418" i="51"/>
  <c r="E417" i="51"/>
  <c r="E416" i="51"/>
  <c r="E415" i="51"/>
  <c r="E414" i="51"/>
  <c r="E413" i="51"/>
  <c r="E412" i="51"/>
  <c r="E411" i="51"/>
  <c r="E410" i="51"/>
  <c r="E409" i="51"/>
  <c r="E408" i="51"/>
  <c r="E407" i="51"/>
  <c r="E405" i="51"/>
  <c r="E396" i="51"/>
  <c r="E388" i="51"/>
  <c r="E387" i="51"/>
  <c r="E385" i="51"/>
  <c r="E383" i="51"/>
  <c r="E382" i="51"/>
  <c r="E381" i="51"/>
  <c r="E380" i="51"/>
  <c r="E379" i="51"/>
  <c r="E378" i="51"/>
  <c r="E377" i="51"/>
  <c r="E376" i="51"/>
  <c r="E375" i="51"/>
  <c r="E372" i="51"/>
  <c r="E371" i="51"/>
  <c r="E370" i="51"/>
  <c r="E369" i="51"/>
  <c r="E367" i="51"/>
  <c r="E365" i="51"/>
  <c r="E364" i="51"/>
  <c r="E363" i="51"/>
  <c r="E362" i="51"/>
  <c r="E361" i="51"/>
  <c r="E359" i="51"/>
  <c r="E357" i="51"/>
  <c r="E356" i="51"/>
  <c r="E355" i="51"/>
  <c r="E354" i="51"/>
  <c r="E353" i="51"/>
  <c r="E352" i="51"/>
  <c r="E351" i="51"/>
  <c r="E350" i="51"/>
  <c r="E349" i="51"/>
  <c r="E348" i="51"/>
  <c r="E347" i="51"/>
  <c r="E346" i="51"/>
  <c r="E345" i="51"/>
  <c r="E344" i="51"/>
  <c r="E342" i="51"/>
  <c r="E341" i="51"/>
  <c r="E339" i="51"/>
  <c r="E337" i="51"/>
  <c r="E336" i="51"/>
  <c r="E335" i="51"/>
  <c r="E334" i="51"/>
  <c r="E333" i="51"/>
  <c r="E332" i="51"/>
  <c r="E331" i="51"/>
  <c r="E330" i="51"/>
  <c r="E329" i="51"/>
  <c r="E328" i="51"/>
  <c r="E326" i="51"/>
  <c r="E325" i="51"/>
  <c r="E324" i="51"/>
  <c r="E323" i="51"/>
  <c r="E322" i="51"/>
  <c r="E321" i="51"/>
  <c r="E320" i="51"/>
  <c r="E319" i="51"/>
  <c r="E318" i="51"/>
  <c r="E317" i="51"/>
  <c r="E316" i="51"/>
  <c r="E315" i="51"/>
  <c r="E314" i="51"/>
  <c r="E313" i="51"/>
  <c r="E312" i="51"/>
  <c r="E311" i="51"/>
  <c r="E310" i="51"/>
  <c r="E309" i="51"/>
  <c r="E308" i="51"/>
  <c r="E307" i="51"/>
  <c r="E305" i="51"/>
  <c r="E303" i="51"/>
  <c r="E302" i="51"/>
  <c r="E301" i="51"/>
  <c r="E300" i="51"/>
  <c r="E299" i="51"/>
  <c r="E298" i="51"/>
  <c r="E297" i="51"/>
  <c r="E296" i="51"/>
  <c r="E295" i="51"/>
  <c r="E294" i="51"/>
  <c r="E293" i="51"/>
  <c r="E292" i="51"/>
  <c r="E291" i="51"/>
  <c r="E290" i="51"/>
  <c r="E289" i="51"/>
  <c r="E288" i="51"/>
  <c r="E287" i="51"/>
  <c r="E286" i="51"/>
  <c r="E285" i="51"/>
  <c r="E284" i="51"/>
  <c r="E283" i="51"/>
  <c r="E282" i="51"/>
  <c r="E281" i="51"/>
  <c r="E280" i="51"/>
  <c r="E279" i="51"/>
  <c r="E278" i="51"/>
  <c r="E277" i="51"/>
  <c r="E276" i="51"/>
  <c r="E275" i="51"/>
  <c r="E274" i="51"/>
  <c r="E271" i="51"/>
  <c r="E270" i="51"/>
  <c r="E269" i="51"/>
  <c r="E268" i="51"/>
  <c r="E267" i="51"/>
  <c r="E266" i="51"/>
  <c r="E265" i="51"/>
  <c r="E264" i="51"/>
  <c r="E263" i="51"/>
  <c r="E262" i="51"/>
  <c r="E261" i="51"/>
  <c r="E260" i="51"/>
  <c r="E259" i="51"/>
  <c r="E258" i="51"/>
  <c r="E257" i="51"/>
  <c r="E256" i="51"/>
  <c r="E255" i="51"/>
  <c r="E254" i="51"/>
  <c r="E253" i="51"/>
  <c r="E252" i="51"/>
  <c r="E251" i="51"/>
  <c r="E250" i="51"/>
  <c r="E249" i="51"/>
  <c r="E247" i="51"/>
  <c r="E245" i="51"/>
  <c r="E244" i="51"/>
  <c r="E242" i="51"/>
  <c r="E241" i="51"/>
  <c r="E240" i="51"/>
  <c r="E239" i="51"/>
  <c r="E238" i="51"/>
  <c r="E237" i="51"/>
  <c r="E236" i="51"/>
  <c r="E235" i="51"/>
  <c r="E234" i="51"/>
  <c r="E233" i="51"/>
  <c r="E232" i="51"/>
  <c r="E231" i="51"/>
  <c r="E230" i="51"/>
  <c r="E229" i="51"/>
  <c r="E228" i="51"/>
  <c r="E227" i="51"/>
  <c r="E226" i="51"/>
  <c r="E225" i="51"/>
  <c r="E224" i="51"/>
  <c r="E223" i="51"/>
  <c r="E222" i="51"/>
  <c r="E220" i="51"/>
  <c r="E219" i="51"/>
  <c r="E217" i="51"/>
  <c r="E216" i="51"/>
  <c r="E215" i="51"/>
  <c r="E214" i="51"/>
  <c r="E213" i="51"/>
  <c r="E212" i="51"/>
  <c r="E211" i="51"/>
  <c r="E210" i="51"/>
  <c r="E209" i="51"/>
  <c r="E208" i="51"/>
  <c r="E207" i="51"/>
  <c r="E206" i="51"/>
  <c r="E205" i="51"/>
  <c r="E204" i="51"/>
  <c r="E203" i="51"/>
  <c r="E202" i="51"/>
  <c r="E201" i="51"/>
  <c r="E200" i="51"/>
  <c r="E199" i="51"/>
  <c r="E198" i="51"/>
  <c r="E197" i="51"/>
  <c r="E196" i="51"/>
  <c r="E195" i="51"/>
  <c r="E194" i="51"/>
  <c r="E193" i="51"/>
  <c r="E192" i="51"/>
  <c r="E186" i="51"/>
  <c r="E184" i="51"/>
  <c r="E178" i="51"/>
  <c r="E175" i="51"/>
  <c r="E174" i="51"/>
  <c r="E173" i="51"/>
  <c r="E172" i="51"/>
  <c r="E171" i="51"/>
  <c r="E170" i="51"/>
  <c r="E168" i="51"/>
  <c r="E167" i="51"/>
  <c r="E166" i="51"/>
  <c r="E165" i="51"/>
  <c r="E164" i="51"/>
  <c r="E163" i="51"/>
  <c r="E162" i="51"/>
  <c r="E161" i="51"/>
  <c r="E160" i="51"/>
  <c r="E159" i="51"/>
  <c r="E158" i="51"/>
  <c r="E157" i="51"/>
  <c r="E156" i="51"/>
  <c r="E155" i="51"/>
  <c r="E152" i="51"/>
  <c r="E151" i="51"/>
  <c r="E150" i="51"/>
  <c r="E149" i="51"/>
  <c r="E148" i="51"/>
  <c r="E147" i="51"/>
  <c r="E146" i="51"/>
  <c r="E145" i="51"/>
  <c r="L145" i="51"/>
  <c r="M145" i="51"/>
  <c r="E144" i="51"/>
  <c r="E143" i="51"/>
  <c r="E142" i="51"/>
  <c r="M142" i="51"/>
  <c r="E141" i="51"/>
  <c r="E139" i="51"/>
  <c r="E138" i="51"/>
  <c r="E137" i="51"/>
  <c r="E135" i="51"/>
  <c r="E134" i="51"/>
  <c r="E133" i="51"/>
  <c r="E132" i="51"/>
  <c r="E131" i="51"/>
  <c r="E130" i="51"/>
  <c r="E129" i="51"/>
  <c r="E128" i="51"/>
  <c r="E127" i="51"/>
  <c r="E126" i="51"/>
  <c r="E125" i="51"/>
  <c r="E123" i="51"/>
  <c r="E122" i="51"/>
  <c r="E121" i="51"/>
  <c r="E120" i="51"/>
  <c r="E119" i="51"/>
  <c r="E118" i="51"/>
  <c r="E117" i="51"/>
  <c r="E116" i="51"/>
  <c r="E115" i="51"/>
  <c r="E114" i="51"/>
  <c r="E113" i="51"/>
  <c r="E112" i="51"/>
  <c r="E111" i="51"/>
  <c r="E110" i="51"/>
  <c r="E109" i="51"/>
  <c r="E108" i="51"/>
  <c r="E107" i="51"/>
  <c r="E106" i="51"/>
  <c r="E105" i="51"/>
  <c r="E104" i="51"/>
  <c r="E103" i="51"/>
  <c r="E102" i="51"/>
  <c r="E101" i="51"/>
  <c r="E100" i="51"/>
  <c r="E99" i="51"/>
  <c r="E87" i="51"/>
  <c r="E86" i="51"/>
  <c r="E85" i="51"/>
  <c r="E84" i="51"/>
  <c r="E81" i="51"/>
  <c r="E80" i="51"/>
  <c r="E79" i="51"/>
  <c r="E78" i="51"/>
  <c r="E77" i="51"/>
  <c r="E76" i="51"/>
  <c r="E75" i="51"/>
  <c r="E74" i="51"/>
  <c r="E73" i="51"/>
  <c r="E72" i="51"/>
  <c r="E71" i="51"/>
  <c r="E70" i="51"/>
  <c r="E69" i="51"/>
  <c r="E68" i="51"/>
  <c r="E67" i="51"/>
  <c r="E66" i="51"/>
  <c r="E65" i="51"/>
  <c r="E63" i="51"/>
  <c r="E62" i="51"/>
  <c r="E61" i="51"/>
  <c r="E60" i="51"/>
  <c r="E59" i="51"/>
  <c r="E57" i="51"/>
  <c r="E56" i="51"/>
  <c r="E55" i="51"/>
  <c r="E54" i="51"/>
  <c r="E53" i="51"/>
  <c r="E52" i="51"/>
  <c r="E51" i="51"/>
  <c r="E50" i="51"/>
  <c r="E49" i="51"/>
  <c r="E48" i="51"/>
  <c r="E47" i="51"/>
  <c r="E46" i="51"/>
  <c r="E45" i="51"/>
  <c r="E44" i="51"/>
  <c r="E43" i="51"/>
  <c r="E42" i="51"/>
  <c r="E41" i="51"/>
  <c r="E40" i="51"/>
  <c r="E39" i="51"/>
  <c r="E38" i="51"/>
  <c r="E37" i="51"/>
  <c r="E36" i="51"/>
  <c r="E35" i="51"/>
  <c r="E34" i="51"/>
  <c r="E33" i="51"/>
  <c r="E32" i="51"/>
  <c r="E30" i="51"/>
  <c r="E29" i="51"/>
  <c r="E28" i="51"/>
  <c r="E27" i="51"/>
  <c r="E26" i="51"/>
  <c r="E25" i="51"/>
  <c r="E24" i="51"/>
  <c r="E23" i="51"/>
  <c r="E22" i="51"/>
  <c r="E21" i="51"/>
  <c r="E20" i="51"/>
  <c r="E19" i="51"/>
  <c r="E18" i="51"/>
  <c r="E17" i="51"/>
  <c r="E16" i="51"/>
  <c r="E15" i="51"/>
  <c r="E14" i="51"/>
  <c r="E13" i="51"/>
  <c r="E12" i="51"/>
  <c r="E11" i="51"/>
  <c r="E10" i="51"/>
  <c r="E9" i="51"/>
  <c r="E8" i="51"/>
  <c r="E7" i="51"/>
  <c r="E6" i="51"/>
  <c r="E4" i="51"/>
  <c r="E2" i="51"/>
  <c r="C3" i="54"/>
  <c r="A2" i="54"/>
  <c r="A10" i="54"/>
  <c r="E640" i="51"/>
  <c r="C11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6" i="5"/>
  <c r="G6" i="5"/>
  <c r="H17" i="46"/>
  <c r="E4" i="34"/>
  <c r="E9" i="34"/>
  <c r="E20" i="50"/>
  <c r="E19" i="50"/>
  <c r="E18" i="50"/>
  <c r="E12" i="50"/>
  <c r="E97" i="50"/>
  <c r="E94" i="50"/>
  <c r="E93" i="50"/>
  <c r="E92" i="50"/>
  <c r="E91" i="50"/>
  <c r="E90" i="50"/>
  <c r="E89" i="50"/>
  <c r="E88" i="50"/>
  <c r="E87" i="50"/>
  <c r="E86" i="50"/>
  <c r="E85" i="50"/>
  <c r="E84" i="50"/>
  <c r="E83" i="50"/>
  <c r="E82" i="50"/>
  <c r="E81" i="50"/>
  <c r="E80" i="50"/>
  <c r="E79" i="50"/>
  <c r="E78" i="50"/>
  <c r="E77" i="50"/>
  <c r="E76" i="50"/>
  <c r="E75" i="50"/>
  <c r="E74" i="50"/>
  <c r="E73" i="50"/>
  <c r="E72" i="50"/>
  <c r="E71" i="50"/>
  <c r="E70" i="50"/>
  <c r="E69" i="50"/>
  <c r="E68" i="50"/>
  <c r="E67" i="50"/>
  <c r="E66" i="50"/>
  <c r="E65" i="50"/>
  <c r="E64" i="50"/>
  <c r="E63" i="50"/>
  <c r="E62" i="50"/>
  <c r="E61" i="50"/>
  <c r="E60" i="50"/>
  <c r="E59" i="50"/>
  <c r="E58" i="50"/>
  <c r="E57" i="50"/>
  <c r="E56" i="50"/>
  <c r="E55" i="50"/>
  <c r="E54" i="50"/>
  <c r="E53" i="50"/>
  <c r="E52" i="50"/>
  <c r="E51" i="50"/>
  <c r="E50" i="50"/>
  <c r="E49" i="50"/>
  <c r="E48" i="50"/>
  <c r="E47" i="50"/>
  <c r="E46" i="50"/>
  <c r="E45" i="50"/>
  <c r="E44" i="50"/>
  <c r="E43" i="50"/>
  <c r="E42" i="50"/>
  <c r="E41" i="50"/>
  <c r="E40" i="50"/>
  <c r="E39" i="50"/>
  <c r="E38" i="50"/>
  <c r="E37" i="50"/>
  <c r="E36" i="50"/>
  <c r="E35" i="50"/>
  <c r="E34" i="50"/>
  <c r="E33" i="50"/>
  <c r="E32" i="50"/>
  <c r="E31" i="50"/>
  <c r="E30" i="50"/>
  <c r="E29" i="50"/>
  <c r="E28" i="50"/>
  <c r="E27" i="50"/>
  <c r="E26" i="50"/>
  <c r="E25" i="50"/>
  <c r="E24" i="50"/>
  <c r="E23" i="50"/>
  <c r="E22" i="50"/>
  <c r="E21" i="50"/>
  <c r="E17" i="50"/>
  <c r="E16" i="50"/>
  <c r="E15" i="50"/>
  <c r="E14" i="50"/>
  <c r="E13" i="50"/>
  <c r="E11" i="50"/>
  <c r="E10" i="50"/>
  <c r="E9" i="50"/>
  <c r="E8" i="50"/>
  <c r="E7" i="50"/>
  <c r="E6" i="50"/>
  <c r="E5" i="50"/>
  <c r="E4" i="50"/>
  <c r="E3" i="50"/>
  <c r="E2" i="50"/>
  <c r="M2" i="50"/>
  <c r="F39" i="6"/>
  <c r="F40" i="6"/>
  <c r="F41" i="6"/>
  <c r="F42" i="6"/>
  <c r="F43" i="6"/>
  <c r="F44" i="6"/>
  <c r="F45" i="6"/>
  <c r="F46" i="6"/>
  <c r="F47" i="6"/>
  <c r="F48" i="6"/>
  <c r="F49" i="6"/>
  <c r="F50" i="6"/>
  <c r="C17" i="39"/>
  <c r="C5" i="5"/>
  <c r="G17" i="39"/>
  <c r="C11" i="5"/>
  <c r="H17" i="39"/>
  <c r="C12" i="5"/>
  <c r="I17" i="39"/>
  <c r="C13" i="5"/>
  <c r="C14" i="5"/>
  <c r="C15" i="5"/>
  <c r="E17" i="39"/>
  <c r="C7" i="5"/>
  <c r="F17" i="39"/>
  <c r="C8" i="5"/>
  <c r="C4" i="54"/>
  <c r="C5" i="54"/>
  <c r="C6" i="54"/>
  <c r="C7" i="54"/>
  <c r="C8" i="54"/>
  <c r="C4" i="5"/>
  <c r="C9" i="5"/>
  <c r="C16" i="5"/>
  <c r="D5" i="5"/>
  <c r="D6" i="5"/>
  <c r="D7" i="5"/>
  <c r="D8" i="5"/>
  <c r="G7" i="5"/>
  <c r="G5" i="5"/>
  <c r="C3" i="48"/>
  <c r="K15" i="39"/>
  <c r="K17" i="39"/>
  <c r="H4" i="46"/>
  <c r="B3" i="48"/>
  <c r="I3" i="12"/>
  <c r="J3" i="12"/>
  <c r="K3" i="12"/>
  <c r="L3" i="12"/>
  <c r="M3" i="12"/>
  <c r="N3" i="12"/>
  <c r="O3" i="12"/>
  <c r="T3" i="12"/>
  <c r="D5" i="45"/>
  <c r="D6" i="45"/>
  <c r="D4" i="45"/>
  <c r="T8" i="46"/>
  <c r="H8" i="46"/>
  <c r="G8" i="46"/>
  <c r="L621" i="56"/>
  <c r="B3" i="42"/>
  <c r="C3" i="42"/>
  <c r="D3" i="42"/>
  <c r="E3" i="42"/>
  <c r="F3" i="42"/>
  <c r="G3" i="42"/>
  <c r="H3" i="42"/>
  <c r="I3" i="42"/>
  <c r="J3" i="42"/>
  <c r="K3" i="42"/>
  <c r="B3" i="41"/>
  <c r="B4" i="42"/>
  <c r="C4" i="42"/>
  <c r="D4" i="42"/>
  <c r="E4" i="42"/>
  <c r="F4" i="42"/>
  <c r="G4" i="42"/>
  <c r="H4" i="42"/>
  <c r="I4" i="42"/>
  <c r="J4" i="42"/>
  <c r="K4" i="42"/>
  <c r="B4" i="41"/>
  <c r="B5" i="42"/>
  <c r="C5" i="42"/>
  <c r="D5" i="42"/>
  <c r="E5" i="42"/>
  <c r="F5" i="42"/>
  <c r="G5" i="42"/>
  <c r="H5" i="42"/>
  <c r="I5" i="42"/>
  <c r="J5" i="42"/>
  <c r="K5" i="42"/>
  <c r="B5" i="41"/>
  <c r="B6" i="42"/>
  <c r="C6" i="42"/>
  <c r="D6" i="42"/>
  <c r="E6" i="42"/>
  <c r="F6" i="42"/>
  <c r="G6" i="42"/>
  <c r="H6" i="42"/>
  <c r="I6" i="42"/>
  <c r="J6" i="42"/>
  <c r="K6" i="42"/>
  <c r="B6" i="41"/>
  <c r="B7" i="42"/>
  <c r="C7" i="42"/>
  <c r="D7" i="42"/>
  <c r="E7" i="42"/>
  <c r="F7" i="42"/>
  <c r="G7" i="42"/>
  <c r="H7" i="42"/>
  <c r="I7" i="42"/>
  <c r="J7" i="42"/>
  <c r="K7" i="42"/>
  <c r="B7" i="41"/>
  <c r="B8" i="42"/>
  <c r="C8" i="42"/>
  <c r="D8" i="42"/>
  <c r="E8" i="42"/>
  <c r="F8" i="42"/>
  <c r="G8" i="42"/>
  <c r="H8" i="42"/>
  <c r="I8" i="42"/>
  <c r="J8" i="42"/>
  <c r="K8" i="42"/>
  <c r="B8" i="41"/>
  <c r="B9" i="42"/>
  <c r="C9" i="42"/>
  <c r="D9" i="42"/>
  <c r="E9" i="42"/>
  <c r="F9" i="42"/>
  <c r="G9" i="42"/>
  <c r="H9" i="42"/>
  <c r="I9" i="42"/>
  <c r="J9" i="42"/>
  <c r="K9" i="42"/>
  <c r="B9" i="41"/>
  <c r="B10" i="41"/>
  <c r="B15" i="42"/>
  <c r="D15" i="42"/>
  <c r="E15" i="42"/>
  <c r="G15" i="42"/>
  <c r="H15" i="42"/>
  <c r="I15" i="42"/>
  <c r="J15" i="42"/>
  <c r="K15" i="42"/>
  <c r="B13" i="41"/>
  <c r="B16" i="42"/>
  <c r="D16" i="42"/>
  <c r="E16" i="42"/>
  <c r="G16" i="42"/>
  <c r="H16" i="42"/>
  <c r="I16" i="42"/>
  <c r="J16" i="42"/>
  <c r="K16" i="42"/>
  <c r="B14" i="41"/>
  <c r="B17" i="42"/>
  <c r="D17" i="42"/>
  <c r="E17" i="42"/>
  <c r="G17" i="42"/>
  <c r="H17" i="42"/>
  <c r="I17" i="42"/>
  <c r="J17" i="42"/>
  <c r="K17" i="42"/>
  <c r="B15" i="41"/>
  <c r="B18" i="42"/>
  <c r="D18" i="42"/>
  <c r="E18" i="42"/>
  <c r="G18" i="42"/>
  <c r="H18" i="42"/>
  <c r="I18" i="42"/>
  <c r="J18" i="42"/>
  <c r="K18" i="42"/>
  <c r="B16" i="41"/>
  <c r="B19" i="42"/>
  <c r="D19" i="42"/>
  <c r="E19" i="42"/>
  <c r="G19" i="42"/>
  <c r="H19" i="42"/>
  <c r="I19" i="42"/>
  <c r="J19" i="42"/>
  <c r="K19" i="42"/>
  <c r="B17" i="41"/>
  <c r="B20" i="42"/>
  <c r="D20" i="42"/>
  <c r="E20" i="42"/>
  <c r="G20" i="42"/>
  <c r="H20" i="42"/>
  <c r="I20" i="42"/>
  <c r="J20" i="42"/>
  <c r="K20" i="42"/>
  <c r="B18" i="41"/>
  <c r="B21" i="42"/>
  <c r="D21" i="42"/>
  <c r="E21" i="42"/>
  <c r="G21" i="42"/>
  <c r="H21" i="42"/>
  <c r="I21" i="42"/>
  <c r="J21" i="42"/>
  <c r="K21" i="42"/>
  <c r="B19" i="41"/>
  <c r="B22" i="42"/>
  <c r="D22" i="42"/>
  <c r="E22" i="42"/>
  <c r="G22" i="42"/>
  <c r="H22" i="42"/>
  <c r="I22" i="42"/>
  <c r="J22" i="42"/>
  <c r="K22" i="42"/>
  <c r="B20" i="41"/>
  <c r="B23" i="42"/>
  <c r="D23" i="42"/>
  <c r="E23" i="42"/>
  <c r="G23" i="42"/>
  <c r="H23" i="42"/>
  <c r="I23" i="42"/>
  <c r="J23" i="42"/>
  <c r="K23" i="42"/>
  <c r="B21" i="41"/>
  <c r="B24" i="42"/>
  <c r="D24" i="42"/>
  <c r="E24" i="42"/>
  <c r="G24" i="42"/>
  <c r="H24" i="42"/>
  <c r="I24" i="42"/>
  <c r="J24" i="42"/>
  <c r="K24" i="42"/>
  <c r="B22" i="41"/>
  <c r="B25" i="42"/>
  <c r="D25" i="42"/>
  <c r="E25" i="42"/>
  <c r="G25" i="42"/>
  <c r="H25" i="42"/>
  <c r="I25" i="42"/>
  <c r="J25" i="42"/>
  <c r="K25" i="42"/>
  <c r="B23" i="41"/>
  <c r="B26" i="42"/>
  <c r="D26" i="42"/>
  <c r="E26" i="42"/>
  <c r="G26" i="42"/>
  <c r="H26" i="42"/>
  <c r="I26" i="42"/>
  <c r="J26" i="42"/>
  <c r="K26" i="42"/>
  <c r="B24" i="41"/>
  <c r="B27" i="42"/>
  <c r="D27" i="42"/>
  <c r="E27" i="42"/>
  <c r="G27" i="42"/>
  <c r="H27" i="42"/>
  <c r="I27" i="42"/>
  <c r="J27" i="42"/>
  <c r="K27" i="42"/>
  <c r="B25" i="41"/>
  <c r="B28" i="42"/>
  <c r="D28" i="42"/>
  <c r="E28" i="42"/>
  <c r="G28" i="42"/>
  <c r="H28" i="42"/>
  <c r="I28" i="42"/>
  <c r="J28" i="42"/>
  <c r="K28" i="42"/>
  <c r="B26" i="41"/>
  <c r="B29" i="42"/>
  <c r="D29" i="42"/>
  <c r="E29" i="42"/>
  <c r="G29" i="42"/>
  <c r="H29" i="42"/>
  <c r="I29" i="42"/>
  <c r="J29" i="42"/>
  <c r="K29" i="42"/>
  <c r="B27" i="41"/>
  <c r="B30" i="42"/>
  <c r="D30" i="42"/>
  <c r="E30" i="42"/>
  <c r="G30" i="42"/>
  <c r="H30" i="42"/>
  <c r="I30" i="42"/>
  <c r="J30" i="42"/>
  <c r="K30" i="42"/>
  <c r="B28" i="41"/>
  <c r="B31" i="42"/>
  <c r="D31" i="42"/>
  <c r="E31" i="42"/>
  <c r="G31" i="42"/>
  <c r="H31" i="42"/>
  <c r="I31" i="42"/>
  <c r="J31" i="42"/>
  <c r="K31" i="42"/>
  <c r="B29" i="41"/>
  <c r="B32" i="42"/>
  <c r="D32" i="42"/>
  <c r="E32" i="42"/>
  <c r="G32" i="42"/>
  <c r="H32" i="42"/>
  <c r="I32" i="42"/>
  <c r="J32" i="42"/>
  <c r="K32" i="42"/>
  <c r="B30" i="41"/>
  <c r="B33" i="42"/>
  <c r="D33" i="42"/>
  <c r="E33" i="42"/>
  <c r="G33" i="42"/>
  <c r="H33" i="42"/>
  <c r="I33" i="42"/>
  <c r="J33" i="42"/>
  <c r="K33" i="42"/>
  <c r="B31" i="41"/>
  <c r="B34" i="42"/>
  <c r="D34" i="42"/>
  <c r="E34" i="42"/>
  <c r="G34" i="42"/>
  <c r="H34" i="42"/>
  <c r="I34" i="42"/>
  <c r="J34" i="42"/>
  <c r="K34" i="42"/>
  <c r="B32" i="41"/>
  <c r="B35" i="42"/>
  <c r="D35" i="42"/>
  <c r="E35" i="42"/>
  <c r="G35" i="42"/>
  <c r="H35" i="42"/>
  <c r="I35" i="42"/>
  <c r="J35" i="42"/>
  <c r="K35" i="42"/>
  <c r="B33" i="41"/>
  <c r="B36" i="42"/>
  <c r="D36" i="42"/>
  <c r="E36" i="42"/>
  <c r="G36" i="42"/>
  <c r="H36" i="42"/>
  <c r="I36" i="42"/>
  <c r="J36" i="42"/>
  <c r="K36" i="42"/>
  <c r="B34" i="41"/>
  <c r="B37" i="42"/>
  <c r="D37" i="42"/>
  <c r="E37" i="42"/>
  <c r="G37" i="42"/>
  <c r="H37" i="42"/>
  <c r="I37" i="42"/>
  <c r="J37" i="42"/>
  <c r="K37" i="42"/>
  <c r="B35" i="41"/>
  <c r="B38" i="42"/>
  <c r="D38" i="42"/>
  <c r="E38" i="42"/>
  <c r="G38" i="42"/>
  <c r="H38" i="42"/>
  <c r="I38" i="42"/>
  <c r="J38" i="42"/>
  <c r="K38" i="42"/>
  <c r="B36" i="41"/>
  <c r="B39" i="42"/>
  <c r="D39" i="42"/>
  <c r="E39" i="42"/>
  <c r="G39" i="42"/>
  <c r="H39" i="42"/>
  <c r="I39" i="42"/>
  <c r="J39" i="42"/>
  <c r="K39" i="42"/>
  <c r="B37" i="41"/>
  <c r="B40" i="42"/>
  <c r="D40" i="42"/>
  <c r="E40" i="42"/>
  <c r="G40" i="42"/>
  <c r="H40" i="42"/>
  <c r="I40" i="42"/>
  <c r="J40" i="42"/>
  <c r="K40" i="42"/>
  <c r="B38" i="41"/>
  <c r="B41" i="42"/>
  <c r="D41" i="42"/>
  <c r="E41" i="42"/>
  <c r="G41" i="42"/>
  <c r="H41" i="42"/>
  <c r="I41" i="42"/>
  <c r="J41" i="42"/>
  <c r="K41" i="42"/>
  <c r="B39" i="41"/>
  <c r="B42" i="42"/>
  <c r="D42" i="42"/>
  <c r="E42" i="42"/>
  <c r="G42" i="42"/>
  <c r="H42" i="42"/>
  <c r="I42" i="42"/>
  <c r="J42" i="42"/>
  <c r="K42" i="42"/>
  <c r="B40" i="41"/>
  <c r="B43" i="42"/>
  <c r="D43" i="42"/>
  <c r="E43" i="42"/>
  <c r="G43" i="42"/>
  <c r="H43" i="42"/>
  <c r="I43" i="42"/>
  <c r="J43" i="42"/>
  <c r="K43" i="42"/>
  <c r="B41" i="41"/>
  <c r="B44" i="42"/>
  <c r="D44" i="42"/>
  <c r="E44" i="42"/>
  <c r="G44" i="42"/>
  <c r="H44" i="42"/>
  <c r="I44" i="42"/>
  <c r="J44" i="42"/>
  <c r="K44" i="42"/>
  <c r="B42" i="41"/>
  <c r="B45" i="42"/>
  <c r="D45" i="42"/>
  <c r="E45" i="42"/>
  <c r="G45" i="42"/>
  <c r="H45" i="42"/>
  <c r="I45" i="42"/>
  <c r="J45" i="42"/>
  <c r="K45" i="42"/>
  <c r="B43" i="41"/>
  <c r="B46" i="42"/>
  <c r="D46" i="42"/>
  <c r="E46" i="42"/>
  <c r="G46" i="42"/>
  <c r="H46" i="42"/>
  <c r="I46" i="42"/>
  <c r="J46" i="42"/>
  <c r="K46" i="42"/>
  <c r="B44" i="41"/>
  <c r="B45" i="41"/>
  <c r="B48" i="41"/>
  <c r="H15" i="46"/>
  <c r="I3" i="46"/>
  <c r="J3" i="46"/>
  <c r="K3" i="46"/>
  <c r="L3" i="46"/>
  <c r="M3" i="46"/>
  <c r="N3" i="46"/>
  <c r="O3" i="46"/>
  <c r="P3" i="46"/>
  <c r="Q3" i="46"/>
  <c r="R3" i="46"/>
  <c r="S3" i="46"/>
  <c r="T3" i="46"/>
  <c r="C43" i="13"/>
  <c r="M17" i="13"/>
  <c r="M39" i="13"/>
  <c r="M40" i="13"/>
  <c r="M8" i="13"/>
  <c r="N17" i="13"/>
  <c r="S3" i="12"/>
  <c r="S4" i="12"/>
  <c r="S5" i="12"/>
  <c r="S8" i="12"/>
  <c r="N37" i="13"/>
  <c r="N39" i="13"/>
  <c r="N40" i="13"/>
  <c r="N8" i="13"/>
  <c r="E17" i="13"/>
  <c r="E39" i="13"/>
  <c r="E40" i="13"/>
  <c r="E8" i="13"/>
  <c r="F17" i="13"/>
  <c r="F39" i="13"/>
  <c r="F40" i="13"/>
  <c r="F8" i="13"/>
  <c r="G17" i="13"/>
  <c r="G39" i="13"/>
  <c r="G40" i="13"/>
  <c r="G8" i="13"/>
  <c r="H17" i="13"/>
  <c r="H39" i="13"/>
  <c r="H40" i="13"/>
  <c r="H8" i="13"/>
  <c r="I17" i="13"/>
  <c r="I39" i="13"/>
  <c r="I40" i="13"/>
  <c r="I8" i="13"/>
  <c r="J17" i="13"/>
  <c r="J39" i="13"/>
  <c r="J40" i="13"/>
  <c r="J8" i="13"/>
  <c r="K17" i="13"/>
  <c r="K39" i="13"/>
  <c r="K40" i="13"/>
  <c r="K8" i="13"/>
  <c r="L17" i="13"/>
  <c r="L39" i="13"/>
  <c r="L40" i="13"/>
  <c r="L8" i="13"/>
  <c r="D17" i="13"/>
  <c r="D39" i="13"/>
  <c r="D40" i="13"/>
  <c r="D8" i="13"/>
  <c r="O9" i="13"/>
  <c r="O10" i="13"/>
  <c r="O42" i="13"/>
  <c r="M9" i="13"/>
  <c r="M10" i="13"/>
  <c r="M42" i="13"/>
  <c r="N9" i="13"/>
  <c r="N10" i="13"/>
  <c r="N42" i="13"/>
  <c r="J9" i="13"/>
  <c r="J10" i="13"/>
  <c r="J42" i="13"/>
  <c r="K9" i="13"/>
  <c r="K10" i="13"/>
  <c r="K42" i="13"/>
  <c r="L9" i="13"/>
  <c r="L10" i="13"/>
  <c r="L42" i="13"/>
  <c r="I9" i="13"/>
  <c r="I10" i="13"/>
  <c r="I42" i="13"/>
  <c r="D679" i="56"/>
  <c r="F52" i="6"/>
  <c r="E8" i="5"/>
  <c r="E11" i="42"/>
  <c r="E15" i="5"/>
  <c r="C18" i="39"/>
  <c r="I48" i="42"/>
  <c r="I11" i="42"/>
  <c r="I51" i="42"/>
  <c r="J47" i="42"/>
  <c r="B48" i="42"/>
  <c r="B11" i="42"/>
  <c r="K11" i="42"/>
  <c r="B12" i="42"/>
  <c r="E176" i="56"/>
  <c r="L391" i="56"/>
  <c r="M391" i="56"/>
  <c r="M80" i="56"/>
  <c r="B17" i="39"/>
  <c r="D17" i="39"/>
  <c r="D13" i="5"/>
  <c r="C25" i="54"/>
  <c r="D22" i="54"/>
  <c r="E22" i="54"/>
  <c r="D21" i="54"/>
  <c r="E21" i="54"/>
  <c r="D20" i="54"/>
  <c r="E20" i="54"/>
  <c r="D19" i="54"/>
  <c r="E19" i="54"/>
  <c r="D18" i="54"/>
  <c r="E18" i="54"/>
  <c r="D17" i="54"/>
  <c r="E17" i="54"/>
  <c r="D16" i="54"/>
  <c r="E16" i="54"/>
  <c r="D15" i="54"/>
  <c r="E15" i="54"/>
  <c r="D14" i="54"/>
  <c r="E14" i="54"/>
  <c r="D13" i="54"/>
  <c r="E13" i="54"/>
  <c r="D12" i="54"/>
  <c r="E12" i="54"/>
  <c r="D11" i="54"/>
  <c r="E11" i="54"/>
  <c r="D8" i="54"/>
  <c r="D4" i="54"/>
  <c r="D5" i="54"/>
  <c r="D6" i="54"/>
  <c r="D7" i="54"/>
  <c r="E4" i="54"/>
  <c r="E5" i="54"/>
  <c r="E6" i="54"/>
  <c r="E7" i="54"/>
  <c r="D3" i="54"/>
  <c r="E3" i="54"/>
  <c r="E11" i="6"/>
  <c r="E17" i="6"/>
  <c r="E18" i="6"/>
  <c r="E24" i="6"/>
  <c r="E27" i="6"/>
  <c r="E30" i="6"/>
  <c r="E25" i="6"/>
  <c r="E22" i="6"/>
  <c r="E19" i="6"/>
  <c r="E7" i="6"/>
  <c r="E14" i="6"/>
  <c r="E20" i="6"/>
  <c r="D31" i="6"/>
  <c r="E31" i="6"/>
  <c r="E13" i="6"/>
  <c r="E16" i="6"/>
  <c r="E33" i="6"/>
  <c r="E9" i="6"/>
  <c r="E21" i="6"/>
  <c r="D6" i="34"/>
  <c r="E2" i="6"/>
  <c r="E5" i="6"/>
  <c r="E26" i="6"/>
  <c r="E28" i="6"/>
  <c r="E6" i="34"/>
  <c r="E12" i="34"/>
  <c r="E13" i="34"/>
  <c r="E14" i="34"/>
  <c r="Q8" i="46"/>
  <c r="R7" i="46"/>
  <c r="T4" i="46"/>
  <c r="I8" i="46"/>
  <c r="J7" i="46"/>
  <c r="J8" i="46"/>
  <c r="J9" i="46"/>
  <c r="K8" i="46"/>
  <c r="L7" i="46"/>
  <c r="L8" i="46"/>
  <c r="L9" i="46"/>
  <c r="M8" i="46"/>
  <c r="N7" i="46"/>
  <c r="N8" i="46"/>
  <c r="O7" i="46"/>
  <c r="O8" i="46"/>
  <c r="P7" i="46"/>
  <c r="P8" i="46"/>
  <c r="P9" i="46"/>
  <c r="Q7" i="46"/>
  <c r="K4" i="46"/>
  <c r="M4" i="46"/>
  <c r="H7" i="46"/>
  <c r="I4" i="46"/>
  <c r="I5" i="46"/>
  <c r="I7" i="46"/>
  <c r="I9" i="46"/>
  <c r="I10" i="46"/>
  <c r="M5" i="46"/>
  <c r="P4" i="46"/>
  <c r="P5" i="46"/>
  <c r="C9" i="13"/>
  <c r="C10" i="13"/>
  <c r="H2" i="46"/>
  <c r="G7" i="46"/>
  <c r="G9" i="46"/>
  <c r="G5" i="46"/>
  <c r="G10" i="46"/>
  <c r="G11" i="46"/>
  <c r="I2" i="46"/>
  <c r="J4" i="46"/>
  <c r="L4" i="46"/>
  <c r="N4" i="46"/>
  <c r="N5" i="46"/>
  <c r="O4" i="46"/>
  <c r="I11" i="46"/>
  <c r="J2" i="46"/>
  <c r="L5" i="46"/>
  <c r="Q9" i="46"/>
  <c r="M7" i="46"/>
  <c r="M9" i="46"/>
  <c r="M10" i="46"/>
  <c r="K7" i="46"/>
  <c r="K9" i="46"/>
  <c r="O9" i="46"/>
  <c r="L10" i="46"/>
  <c r="S4" i="46"/>
  <c r="K5" i="46"/>
  <c r="K10" i="46"/>
  <c r="P10" i="46"/>
  <c r="R4" i="46"/>
  <c r="R5" i="46"/>
  <c r="N9" i="46"/>
  <c r="N10" i="46"/>
  <c r="O5" i="46"/>
  <c r="O10" i="46"/>
  <c r="R8" i="46"/>
  <c r="S7" i="46"/>
  <c r="S8" i="46"/>
  <c r="Q4" i="46"/>
  <c r="Q5" i="46"/>
  <c r="Q10" i="46"/>
  <c r="J5" i="46"/>
  <c r="J10" i="46"/>
  <c r="J11" i="46"/>
  <c r="K2" i="46"/>
  <c r="K11" i="46"/>
  <c r="L2" i="46"/>
  <c r="L11" i="46"/>
  <c r="M2" i="46"/>
  <c r="M11" i="46"/>
  <c r="N2" i="46"/>
  <c r="N11" i="46"/>
  <c r="O2" i="46"/>
  <c r="O11" i="46"/>
  <c r="P2" i="46"/>
  <c r="P11" i="46"/>
  <c r="Q2" i="46"/>
  <c r="R9" i="46"/>
  <c r="R10" i="46"/>
  <c r="H9" i="46"/>
  <c r="T7" i="46"/>
  <c r="Q11" i="46"/>
  <c r="R2" i="46"/>
  <c r="R11" i="46"/>
  <c r="S2" i="46"/>
  <c r="S9" i="46"/>
  <c r="T9" i="46"/>
  <c r="F8" i="5"/>
  <c r="G8" i="5"/>
  <c r="T5" i="46"/>
  <c r="T10" i="46"/>
  <c r="S5" i="46"/>
  <c r="S10" i="46"/>
  <c r="S11" i="46"/>
  <c r="T2" i="46"/>
  <c r="T11" i="46"/>
  <c r="H3" i="46"/>
  <c r="H5" i="46"/>
  <c r="H10" i="46"/>
  <c r="H11" i="46"/>
  <c r="H16" i="46"/>
  <c r="H19" i="46"/>
  <c r="I149" i="47"/>
  <c r="M149" i="47"/>
  <c r="B159" i="47"/>
  <c r="M159" i="47"/>
  <c r="B169" i="47"/>
  <c r="M169" i="47"/>
  <c r="B179" i="47"/>
  <c r="M179" i="47"/>
  <c r="B189" i="47"/>
  <c r="M189" i="47"/>
  <c r="B199" i="47"/>
  <c r="M199" i="47"/>
  <c r="B209" i="47"/>
  <c r="M209" i="47"/>
  <c r="B219" i="47"/>
  <c r="M219" i="47"/>
  <c r="B229" i="47"/>
  <c r="M229" i="47"/>
  <c r="B239" i="47"/>
  <c r="G239" i="47"/>
  <c r="M239" i="47"/>
  <c r="B249" i="47"/>
  <c r="M249" i="47"/>
  <c r="C189" i="47"/>
  <c r="N189" i="47"/>
  <c r="C199" i="47"/>
  <c r="N199" i="47"/>
  <c r="C209" i="47"/>
  <c r="N209" i="47"/>
  <c r="C219" i="47"/>
  <c r="N219" i="47"/>
  <c r="C229" i="47"/>
  <c r="N229" i="47"/>
  <c r="C239" i="47"/>
  <c r="N239" i="47"/>
  <c r="C249" i="47"/>
  <c r="N249" i="47"/>
  <c r="O249" i="47"/>
  <c r="I150" i="47"/>
  <c r="M150" i="47"/>
  <c r="B160" i="47"/>
  <c r="M160" i="47"/>
  <c r="B170" i="47"/>
  <c r="M170" i="47"/>
  <c r="B180" i="47"/>
  <c r="M180" i="47"/>
  <c r="B190" i="47"/>
  <c r="M190" i="47"/>
  <c r="B200" i="47"/>
  <c r="M200" i="47"/>
  <c r="B210" i="47"/>
  <c r="M210" i="47"/>
  <c r="B220" i="47"/>
  <c r="M220" i="47"/>
  <c r="B230" i="47"/>
  <c r="M230" i="47"/>
  <c r="B240" i="47"/>
  <c r="M240" i="47"/>
  <c r="B250" i="47"/>
  <c r="M250" i="47"/>
  <c r="N150" i="47"/>
  <c r="C160" i="47"/>
  <c r="N160" i="47"/>
  <c r="C170" i="47"/>
  <c r="N170" i="47"/>
  <c r="C180" i="47"/>
  <c r="N180" i="47"/>
  <c r="C190" i="47"/>
  <c r="N190" i="47"/>
  <c r="C200" i="47"/>
  <c r="N200" i="47"/>
  <c r="C210" i="47"/>
  <c r="N210" i="47"/>
  <c r="C220" i="47"/>
  <c r="N220" i="47"/>
  <c r="C230" i="47"/>
  <c r="N230" i="47"/>
  <c r="C240" i="47"/>
  <c r="N240" i="47"/>
  <c r="C250" i="47"/>
  <c r="N250" i="47"/>
  <c r="O250" i="47"/>
  <c r="M151" i="47"/>
  <c r="B161" i="47"/>
  <c r="M161" i="47"/>
  <c r="B171" i="47"/>
  <c r="M171" i="47"/>
  <c r="B181" i="47"/>
  <c r="M181" i="47"/>
  <c r="B191" i="47"/>
  <c r="M191" i="47"/>
  <c r="B201" i="47"/>
  <c r="M201" i="47"/>
  <c r="B211" i="47"/>
  <c r="M211" i="47"/>
  <c r="B221" i="47"/>
  <c r="M221" i="47"/>
  <c r="B231" i="47"/>
  <c r="M231" i="47"/>
  <c r="B241" i="47"/>
  <c r="M241" i="47"/>
  <c r="B251" i="47"/>
  <c r="M251" i="47"/>
  <c r="N128" i="47"/>
  <c r="C140" i="47"/>
  <c r="N140" i="47"/>
  <c r="C151" i="47"/>
  <c r="N151" i="47"/>
  <c r="C161" i="47"/>
  <c r="N161" i="47"/>
  <c r="C171" i="47"/>
  <c r="N171" i="47"/>
  <c r="C181" i="47"/>
  <c r="N181" i="47"/>
  <c r="C191" i="47"/>
  <c r="N191" i="47"/>
  <c r="C201" i="47"/>
  <c r="N201" i="47"/>
  <c r="C211" i="47"/>
  <c r="N211" i="47"/>
  <c r="C221" i="47"/>
  <c r="N221" i="47"/>
  <c r="C231" i="47"/>
  <c r="N231" i="47"/>
  <c r="C241" i="47"/>
  <c r="C251" i="47"/>
  <c r="N251" i="47"/>
  <c r="O251" i="47"/>
  <c r="N152" i="47"/>
  <c r="C162" i="47"/>
  <c r="N162" i="47"/>
  <c r="C172" i="47"/>
  <c r="N172" i="47"/>
  <c r="C182" i="47"/>
  <c r="N182" i="47"/>
  <c r="C192" i="47"/>
  <c r="N192" i="47"/>
  <c r="C202" i="47"/>
  <c r="N202" i="47"/>
  <c r="C212" i="47"/>
  <c r="N212" i="47"/>
  <c r="C222" i="47"/>
  <c r="N222" i="47"/>
  <c r="C232" i="47"/>
  <c r="N232" i="47"/>
  <c r="C242" i="47"/>
  <c r="N242" i="47"/>
  <c r="C252" i="47"/>
  <c r="N252" i="47"/>
  <c r="O252" i="47"/>
  <c r="O253" i="47"/>
  <c r="O239" i="47"/>
  <c r="O240" i="47"/>
  <c r="O242" i="47"/>
  <c r="O243" i="47"/>
  <c r="D253" i="47"/>
  <c r="R253" i="47"/>
  <c r="D252" i="47"/>
  <c r="R252" i="47"/>
  <c r="D251" i="47"/>
  <c r="R251" i="47"/>
  <c r="D250" i="47"/>
  <c r="R250" i="47"/>
  <c r="D249" i="47"/>
  <c r="R249" i="47"/>
  <c r="B252" i="47"/>
  <c r="B242" i="47"/>
  <c r="B232" i="47"/>
  <c r="B222" i="47"/>
  <c r="B212" i="47"/>
  <c r="B202" i="47"/>
  <c r="B192" i="47"/>
  <c r="C159" i="47"/>
  <c r="N159" i="47"/>
  <c r="B182" i="47"/>
  <c r="B172" i="47"/>
  <c r="O152" i="47"/>
  <c r="D162" i="47"/>
  <c r="B162" i="47"/>
  <c r="M126" i="47"/>
  <c r="B138" i="47"/>
  <c r="M138" i="47"/>
  <c r="M127" i="47"/>
  <c r="B139" i="47"/>
  <c r="M139" i="47"/>
  <c r="N127" i="47"/>
  <c r="C139" i="47"/>
  <c r="N139" i="47"/>
  <c r="O139" i="47"/>
  <c r="M128" i="47"/>
  <c r="N129" i="47"/>
  <c r="F141" i="47"/>
  <c r="B153" i="47"/>
  <c r="O126" i="47"/>
  <c r="O127" i="47"/>
  <c r="O128" i="47"/>
  <c r="N130" i="47"/>
  <c r="C142" i="47"/>
  <c r="B141" i="47"/>
  <c r="D139" i="47"/>
  <c r="D138" i="47"/>
  <c r="C138" i="47"/>
  <c r="D126" i="47"/>
  <c r="D127" i="47"/>
  <c r="D128" i="47"/>
  <c r="D129" i="47"/>
  <c r="C130" i="47"/>
  <c r="B130" i="47"/>
  <c r="R127" i="47"/>
  <c r="R126" i="47"/>
  <c r="R117" i="47"/>
  <c r="Q117" i="47"/>
  <c r="R116" i="47"/>
  <c r="R115" i="47"/>
  <c r="R114" i="47"/>
  <c r="R113" i="47"/>
  <c r="R107" i="47"/>
  <c r="Q107" i="47"/>
  <c r="R106" i="47"/>
  <c r="R105" i="47"/>
  <c r="R104" i="47"/>
  <c r="R103" i="47"/>
  <c r="R97" i="47"/>
  <c r="Q97" i="47"/>
  <c r="R96" i="47"/>
  <c r="R95" i="47"/>
  <c r="R94" i="47"/>
  <c r="R93" i="47"/>
  <c r="R87" i="47"/>
  <c r="Q87" i="47"/>
  <c r="R86" i="47"/>
  <c r="R85" i="47"/>
  <c r="R84" i="47"/>
  <c r="R83" i="47"/>
  <c r="R77" i="47"/>
  <c r="Q77" i="47"/>
  <c r="R76" i="47"/>
  <c r="R75" i="47"/>
  <c r="R74" i="47"/>
  <c r="R73" i="47"/>
  <c r="R67" i="47"/>
  <c r="Q67" i="47"/>
  <c r="R66" i="47"/>
  <c r="R65" i="47"/>
  <c r="R64" i="47"/>
  <c r="R63" i="47"/>
  <c r="R57" i="47"/>
  <c r="Q57" i="47"/>
  <c r="R56" i="47"/>
  <c r="R55" i="47"/>
  <c r="R54" i="47"/>
  <c r="R53" i="47"/>
  <c r="R47" i="47"/>
  <c r="Q47" i="47"/>
  <c r="R46" i="47"/>
  <c r="R45" i="47"/>
  <c r="R44" i="47"/>
  <c r="R43" i="47"/>
  <c r="R37" i="47"/>
  <c r="Q37" i="47"/>
  <c r="R36" i="47"/>
  <c r="R35" i="47"/>
  <c r="R34" i="47"/>
  <c r="R33" i="47"/>
  <c r="R27" i="47"/>
  <c r="Q27" i="47"/>
  <c r="R26" i="47"/>
  <c r="R25" i="47"/>
  <c r="R24" i="47"/>
  <c r="R23" i="47"/>
  <c r="R17" i="47"/>
  <c r="Q17" i="47"/>
  <c r="R16" i="47"/>
  <c r="R15" i="47"/>
  <c r="R14" i="47"/>
  <c r="R13" i="47"/>
  <c r="R7" i="47"/>
  <c r="Q7" i="47"/>
  <c r="R6" i="47"/>
  <c r="R5" i="47"/>
  <c r="R4" i="47"/>
  <c r="R3" i="47"/>
  <c r="N153" i="47"/>
  <c r="C163" i="47"/>
  <c r="M153" i="47"/>
  <c r="B163" i="47"/>
  <c r="O149" i="47"/>
  <c r="C169" i="47"/>
  <c r="N169" i="47"/>
  <c r="N163" i="47"/>
  <c r="C173" i="47"/>
  <c r="D140" i="47"/>
  <c r="R128" i="47"/>
  <c r="O138" i="47"/>
  <c r="D150" i="47"/>
  <c r="R139" i="47"/>
  <c r="O151" i="47"/>
  <c r="O162" i="47"/>
  <c r="C153" i="47"/>
  <c r="B140" i="47"/>
  <c r="M140" i="47"/>
  <c r="O140" i="47"/>
  <c r="M130" i="47"/>
  <c r="B142" i="47"/>
  <c r="O150" i="47"/>
  <c r="C141" i="47"/>
  <c r="N141" i="47"/>
  <c r="O141" i="47"/>
  <c r="O129" i="47"/>
  <c r="O130" i="47"/>
  <c r="D130" i="47"/>
  <c r="N142" i="47"/>
  <c r="R130" i="47"/>
  <c r="D142" i="47"/>
  <c r="D160" i="47"/>
  <c r="R150" i="47"/>
  <c r="R162" i="47"/>
  <c r="D172" i="47"/>
  <c r="N173" i="47"/>
  <c r="C183" i="47"/>
  <c r="C179" i="47"/>
  <c r="M163" i="47"/>
  <c r="B173" i="47"/>
  <c r="O159" i="47"/>
  <c r="R129" i="47"/>
  <c r="D141" i="47"/>
  <c r="D151" i="47"/>
  <c r="R151" i="47"/>
  <c r="D161" i="47"/>
  <c r="O160" i="47"/>
  <c r="O172" i="47"/>
  <c r="D152" i="47"/>
  <c r="R152" i="47"/>
  <c r="R141" i="47"/>
  <c r="R140" i="47"/>
  <c r="O161" i="47"/>
  <c r="O142" i="47"/>
  <c r="D149" i="47"/>
  <c r="R149" i="47"/>
  <c r="R138" i="47"/>
  <c r="O153" i="47"/>
  <c r="D159" i="47"/>
  <c r="M142" i="47"/>
  <c r="D163" i="47"/>
  <c r="D153" i="47"/>
  <c r="R153" i="47"/>
  <c r="D171" i="47"/>
  <c r="R161" i="47"/>
  <c r="R172" i="47"/>
  <c r="D182" i="47"/>
  <c r="R160" i="47"/>
  <c r="D170" i="47"/>
  <c r="M173" i="47"/>
  <c r="B183" i="47"/>
  <c r="O169" i="47"/>
  <c r="O170" i="47"/>
  <c r="R142" i="47"/>
  <c r="O171" i="47"/>
  <c r="O182" i="47"/>
  <c r="N183" i="47"/>
  <c r="C193" i="47"/>
  <c r="O163" i="47"/>
  <c r="D169" i="47"/>
  <c r="R159" i="47"/>
  <c r="D179" i="47"/>
  <c r="R169" i="47"/>
  <c r="O173" i="47"/>
  <c r="D181" i="47"/>
  <c r="R171" i="47"/>
  <c r="O181" i="47"/>
  <c r="M183" i="47"/>
  <c r="B193" i="47"/>
  <c r="O179" i="47"/>
  <c r="R182" i="47"/>
  <c r="D192" i="47"/>
  <c r="R170" i="47"/>
  <c r="D180" i="47"/>
  <c r="D173" i="47"/>
  <c r="R163" i="47"/>
  <c r="O192" i="47"/>
  <c r="N193" i="47"/>
  <c r="C203" i="47"/>
  <c r="O180" i="47"/>
  <c r="M193" i="47"/>
  <c r="B203" i="47"/>
  <c r="O189" i="47"/>
  <c r="O190" i="47"/>
  <c r="O202" i="47"/>
  <c r="N203" i="47"/>
  <c r="C213" i="47"/>
  <c r="D202" i="47"/>
  <c r="R192" i="47"/>
  <c r="D189" i="47"/>
  <c r="R179" i="47"/>
  <c r="O183" i="47"/>
  <c r="D191" i="47"/>
  <c r="R181" i="47"/>
  <c r="R180" i="47"/>
  <c r="D190" i="47"/>
  <c r="O191" i="47"/>
  <c r="D183" i="47"/>
  <c r="R173" i="47"/>
  <c r="O200" i="47"/>
  <c r="D201" i="47"/>
  <c r="R191" i="47"/>
  <c r="O212" i="47"/>
  <c r="N213" i="47"/>
  <c r="C223" i="47"/>
  <c r="O201" i="47"/>
  <c r="D212" i="47"/>
  <c r="R202" i="47"/>
  <c r="D199" i="47"/>
  <c r="O193" i="47"/>
  <c r="R189" i="47"/>
  <c r="R183" i="47"/>
  <c r="D193" i="47"/>
  <c r="R190" i="47"/>
  <c r="D200" i="47"/>
  <c r="M203" i="47"/>
  <c r="B213" i="47"/>
  <c r="O199" i="47"/>
  <c r="O211" i="47"/>
  <c r="O210" i="47"/>
  <c r="D209" i="47"/>
  <c r="R199" i="47"/>
  <c r="O203" i="47"/>
  <c r="D211" i="47"/>
  <c r="R201" i="47"/>
  <c r="R200" i="47"/>
  <c r="D210" i="47"/>
  <c r="O222" i="47"/>
  <c r="N223" i="47"/>
  <c r="C233" i="47"/>
  <c r="D222" i="47"/>
  <c r="R212" i="47"/>
  <c r="M213" i="47"/>
  <c r="B223" i="47"/>
  <c r="O209" i="47"/>
  <c r="R193" i="47"/>
  <c r="D203" i="47"/>
  <c r="D232" i="47"/>
  <c r="R222" i="47"/>
  <c r="D221" i="47"/>
  <c r="R211" i="47"/>
  <c r="O219" i="47"/>
  <c r="M223" i="47"/>
  <c r="B233" i="47"/>
  <c r="R203" i="47"/>
  <c r="D213" i="47"/>
  <c r="O220" i="47"/>
  <c r="O221" i="47"/>
  <c r="D219" i="47"/>
  <c r="R209" i="47"/>
  <c r="O213" i="47"/>
  <c r="O232" i="47"/>
  <c r="N233" i="47"/>
  <c r="C243" i="47"/>
  <c r="R210" i="47"/>
  <c r="D220" i="47"/>
  <c r="O230" i="47"/>
  <c r="O223" i="47"/>
  <c r="D229" i="47"/>
  <c r="R219" i="47"/>
  <c r="D242" i="47"/>
  <c r="R232" i="47"/>
  <c r="O231" i="47"/>
  <c r="R213" i="47"/>
  <c r="D223" i="47"/>
  <c r="D231" i="47"/>
  <c r="R221" i="47"/>
  <c r="M233" i="47"/>
  <c r="B243" i="47"/>
  <c r="O229" i="47"/>
  <c r="N243" i="47"/>
  <c r="C253" i="47"/>
  <c r="R220" i="47"/>
  <c r="D230" i="47"/>
  <c r="D239" i="47"/>
  <c r="O233" i="47"/>
  <c r="R229" i="47"/>
  <c r="N253" i="47"/>
  <c r="R223" i="47"/>
  <c r="D233" i="47"/>
  <c r="M243" i="47"/>
  <c r="B253" i="47"/>
  <c r="D241" i="47"/>
  <c r="R231" i="47"/>
  <c r="R230" i="47"/>
  <c r="D240" i="47"/>
  <c r="R242" i="47"/>
  <c r="R240" i="47"/>
  <c r="R241" i="47"/>
  <c r="R239" i="47"/>
  <c r="M253" i="47"/>
  <c r="D243" i="47"/>
  <c r="R233" i="47"/>
  <c r="R243" i="47"/>
  <c r="H8" i="12"/>
  <c r="I2" i="12"/>
  <c r="H2" i="12"/>
  <c r="H9" i="12"/>
  <c r="H4" i="12"/>
  <c r="H5" i="12"/>
  <c r="H3" i="12"/>
  <c r="I9" i="12"/>
  <c r="J2" i="12"/>
  <c r="J9" i="12"/>
  <c r="K2" i="12"/>
  <c r="K9" i="12"/>
  <c r="L2" i="12"/>
  <c r="L9" i="12"/>
  <c r="M2" i="12"/>
  <c r="M9" i="12"/>
  <c r="N2" i="12"/>
  <c r="N9" i="12"/>
  <c r="O2" i="12"/>
  <c r="O9" i="12"/>
  <c r="P2" i="12"/>
  <c r="P9" i="12"/>
  <c r="Q2" i="12"/>
  <c r="Q9" i="12"/>
  <c r="R2" i="12"/>
  <c r="R9" i="12"/>
  <c r="S2" i="12"/>
  <c r="S9" i="12"/>
  <c r="T2" i="12"/>
  <c r="T9" i="12"/>
  <c r="C17" i="45"/>
  <c r="C28" i="45"/>
  <c r="C29" i="45"/>
  <c r="D26" i="45"/>
  <c r="C9" i="45"/>
  <c r="C10" i="45"/>
  <c r="D26" i="13"/>
  <c r="E26" i="13"/>
  <c r="F26" i="13"/>
  <c r="G26" i="13"/>
  <c r="H26" i="13"/>
  <c r="I26" i="13"/>
  <c r="J26" i="13"/>
  <c r="K26" i="13"/>
  <c r="L26" i="13"/>
  <c r="M26" i="13"/>
  <c r="N26" i="13"/>
  <c r="O26" i="13"/>
  <c r="D29" i="45"/>
  <c r="C17" i="13"/>
  <c r="C39" i="13"/>
  <c r="C40" i="13"/>
  <c r="D5" i="13"/>
  <c r="D6" i="13"/>
  <c r="D7" i="13"/>
  <c r="E6" i="13"/>
  <c r="F4" i="13"/>
  <c r="F6" i="13"/>
  <c r="G4" i="13"/>
  <c r="D4" i="13"/>
  <c r="F7" i="13"/>
  <c r="E4" i="13"/>
  <c r="E7" i="13"/>
  <c r="E5" i="13"/>
  <c r="F5" i="13"/>
  <c r="F9" i="13"/>
  <c r="F10" i="13"/>
  <c r="E9" i="13"/>
  <c r="E10" i="13"/>
  <c r="G7" i="13"/>
  <c r="H4" i="13"/>
  <c r="G6" i="13"/>
  <c r="G5" i="13"/>
  <c r="G9" i="13"/>
  <c r="G10" i="13"/>
  <c r="H5" i="13"/>
  <c r="H7" i="13"/>
  <c r="I4" i="13"/>
  <c r="H6" i="13"/>
  <c r="H9" i="13"/>
  <c r="H10" i="13"/>
  <c r="J4" i="13"/>
  <c r="I5" i="13"/>
  <c r="I7" i="13"/>
  <c r="I6" i="13"/>
  <c r="J7" i="13"/>
  <c r="K4" i="13"/>
  <c r="J5" i="13"/>
  <c r="J6" i="13"/>
  <c r="K5" i="13"/>
  <c r="K7" i="13"/>
  <c r="K6" i="13"/>
  <c r="L4" i="13"/>
  <c r="M4" i="13"/>
  <c r="L7" i="13"/>
  <c r="L5" i="13"/>
  <c r="L6" i="13"/>
  <c r="M5" i="13"/>
  <c r="M6" i="13"/>
  <c r="M7" i="13"/>
  <c r="N4" i="13"/>
  <c r="N5" i="13"/>
  <c r="N7" i="13"/>
  <c r="N6" i="13"/>
  <c r="O4" i="13"/>
  <c r="O6" i="13"/>
  <c r="O5" i="13"/>
  <c r="E9" i="5"/>
  <c r="G4" i="5"/>
  <c r="F15" i="5"/>
  <c r="E16" i="5"/>
  <c r="F9" i="5"/>
  <c r="F16" i="5"/>
  <c r="F17" i="5"/>
  <c r="D15" i="5"/>
  <c r="G9" i="5"/>
  <c r="D9" i="5"/>
  <c r="G15" i="5"/>
  <c r="G16" i="5"/>
  <c r="G17" i="5"/>
  <c r="D16" i="5"/>
  <c r="D11" i="5"/>
  <c r="C17" i="5"/>
  <c r="D4" i="5"/>
  <c r="D12" i="5"/>
  <c r="D14" i="5"/>
  <c r="K18" i="39"/>
  <c r="H18" i="39"/>
  <c r="B18" i="39"/>
  <c r="G18" i="39"/>
  <c r="D18" i="39"/>
  <c r="F18" i="39"/>
  <c r="E18" i="39"/>
  <c r="I18" i="39"/>
  <c r="D11" i="42"/>
  <c r="G11" i="42"/>
  <c r="H11" i="42"/>
  <c r="L6" i="42"/>
  <c r="L3" i="42"/>
  <c r="D48" i="42"/>
  <c r="H48" i="42"/>
  <c r="H51" i="42"/>
  <c r="G48" i="42"/>
  <c r="E48" i="42"/>
  <c r="E51" i="42"/>
  <c r="B51" i="42"/>
  <c r="G51" i="42"/>
  <c r="K48" i="42"/>
  <c r="D51" i="42"/>
  <c r="L48" i="42"/>
  <c r="L30" i="42"/>
  <c r="L35" i="42"/>
  <c r="L15" i="42"/>
  <c r="L42" i="42"/>
  <c r="L24" i="42"/>
  <c r="L20" i="42"/>
  <c r="L16" i="42"/>
  <c r="L21" i="42"/>
  <c r="L22" i="42"/>
  <c r="K49" i="42"/>
  <c r="L29" i="42"/>
  <c r="L40" i="42"/>
  <c r="L34" i="42"/>
  <c r="L25" i="42"/>
  <c r="L45" i="42"/>
  <c r="L17" i="42"/>
  <c r="L39" i="42"/>
  <c r="L28" i="42"/>
  <c r="I49" i="42"/>
  <c r="L32" i="42"/>
  <c r="L37" i="42"/>
  <c r="L26" i="42"/>
  <c r="B49" i="42"/>
  <c r="L44" i="42"/>
  <c r="L33" i="42"/>
  <c r="L36" i="42"/>
  <c r="L38" i="42"/>
  <c r="L31" i="42"/>
  <c r="L43" i="42"/>
  <c r="L23" i="42"/>
  <c r="D49" i="42"/>
  <c r="L46" i="42"/>
  <c r="L41" i="42"/>
  <c r="L18" i="42"/>
  <c r="H49" i="42"/>
  <c r="L27" i="42"/>
  <c r="E49" i="42"/>
  <c r="L19" i="42"/>
  <c r="G49" i="42"/>
  <c r="L7" i="42"/>
  <c r="K51" i="42"/>
  <c r="G12" i="42"/>
  <c r="L11" i="42"/>
  <c r="L4" i="42"/>
  <c r="K12" i="42"/>
  <c r="H12" i="42"/>
  <c r="L5" i="42"/>
  <c r="E12" i="42"/>
  <c r="I12" i="42"/>
  <c r="L8" i="42"/>
  <c r="L9" i="42"/>
  <c r="D12" i="42"/>
  <c r="D39" i="20"/>
  <c r="E37" i="20"/>
  <c r="B39" i="20"/>
  <c r="C39" i="20"/>
  <c r="B5" i="48"/>
  <c r="C4" i="48"/>
  <c r="C2" i="48"/>
  <c r="B2" i="48"/>
  <c r="D2" i="48"/>
  <c r="D3" i="48"/>
  <c r="B4" i="48"/>
  <c r="D4" i="48"/>
  <c r="C5" i="48"/>
  <c r="D5" i="48"/>
  <c r="D9" i="13"/>
  <c r="D10" i="13"/>
</calcChain>
</file>

<file path=xl/comments1.xml><?xml version="1.0" encoding="utf-8"?>
<comments xmlns="http://schemas.openxmlformats.org/spreadsheetml/2006/main">
  <authors>
    <author>Apple XXX</author>
  </authors>
  <commentList>
    <comment ref="E16" authorId="0">
      <text>
        <r>
          <rPr>
            <sz val="9"/>
            <color indexed="81"/>
            <rFont val="Arial"/>
          </rPr>
          <t>Includes $120,000 Long-term liability, loan from funder</t>
        </r>
      </text>
    </comment>
  </commentList>
</comments>
</file>

<file path=xl/comments2.xml><?xml version="1.0" encoding="utf-8"?>
<comments xmlns="http://schemas.openxmlformats.org/spreadsheetml/2006/main">
  <authors>
    <author>HOLLY CHANG</author>
  </authors>
  <commentList>
    <comment ref="E7" authorId="0">
      <text>
        <r>
          <rPr>
            <b/>
            <sz val="9"/>
            <color indexed="81"/>
            <rFont val="Arial"/>
          </rPr>
          <t>Rockefeller Brothers Fund, for CYCAN capacity building</t>
        </r>
      </text>
    </comment>
    <comment ref="E8" authorId="0">
      <text>
        <r>
          <rPr>
            <b/>
            <sz val="9"/>
            <color indexed="81"/>
            <rFont val="Arial"/>
          </rPr>
          <t>Restricted Funds, for CMB author payments</t>
        </r>
      </text>
    </comment>
    <comment ref="G8" authorId="0">
      <text>
        <r>
          <rPr>
            <sz val="9"/>
            <color indexed="81"/>
            <rFont val="宋体"/>
            <family val="2"/>
            <charset val="134"/>
          </rPr>
          <t xml:space="preserve">100% Restricted for CMB Author Payments
</t>
        </r>
      </text>
    </comment>
  </commentList>
</comments>
</file>

<file path=xl/comments3.xml><?xml version="1.0" encoding="utf-8"?>
<comments xmlns="http://schemas.openxmlformats.org/spreadsheetml/2006/main">
  <authors>
    <author>Apple XXX</author>
  </authors>
  <commentList>
    <comment ref="G2" authorId="0">
      <text>
        <r>
          <rPr>
            <sz val="9"/>
            <color indexed="81"/>
            <rFont val="Arial"/>
          </rPr>
          <t>Finance/Accounting and other management costs were allocated in grants as program lead salary</t>
        </r>
      </text>
    </comment>
  </commentList>
</comments>
</file>

<file path=xl/comments4.xml><?xml version="1.0" encoding="utf-8"?>
<comments xmlns="http://schemas.openxmlformats.org/spreadsheetml/2006/main">
  <authors>
    <author>HOLLY CHANG</author>
    <author>作者</author>
  </authors>
  <commentList>
    <comment ref="J103" authorId="0">
      <text>
        <r>
          <rPr>
            <b/>
            <sz val="9"/>
            <color indexed="81"/>
            <rFont val="宋体"/>
            <family val="2"/>
            <charset val="134"/>
          </rPr>
          <t>REIMBURSE HOLLY</t>
        </r>
      </text>
    </comment>
    <comment ref="M199" authorId="1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$23037.66
</t>
        </r>
      </text>
    </comment>
    <comment ref="M200" authorId="1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$1108.23</t>
        </r>
      </text>
    </comment>
    <comment ref="M201" authorId="1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1406.84</t>
        </r>
      </text>
    </comment>
    <comment ref="M209" authorId="1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11788.33</t>
        </r>
      </text>
    </comment>
    <comment ref="M210" authorId="1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22.65</t>
        </r>
      </text>
    </comment>
    <comment ref="M211" authorId="1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35.88
</t>
        </r>
      </text>
    </comment>
    <comment ref="M219" authorId="1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4598.93</t>
        </r>
      </text>
    </comment>
    <comment ref="M221" authorId="1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35.88
</t>
        </r>
      </text>
    </comment>
    <comment ref="M229" authorId="1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4598.93</t>
        </r>
      </text>
    </comment>
    <comment ref="M231" authorId="1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35.88
</t>
        </r>
      </text>
    </comment>
    <comment ref="M239" authorId="1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4598.93</t>
        </r>
      </text>
    </comment>
    <comment ref="M241" authorId="1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35.88
</t>
        </r>
      </text>
    </comment>
    <comment ref="M249" authorId="1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4598.93</t>
        </r>
      </text>
    </comment>
    <comment ref="M251" authorId="1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35.88
</t>
        </r>
      </text>
    </comment>
  </commentList>
</comments>
</file>

<file path=xl/comments5.xml><?xml version="1.0" encoding="utf-8"?>
<comments xmlns="http://schemas.openxmlformats.org/spreadsheetml/2006/main">
  <authors>
    <author>HOLLY CHANG</author>
  </authors>
  <commentList>
    <comment ref="A9" authorId="0">
      <text>
        <r>
          <rPr>
            <b/>
            <sz val="9"/>
            <color indexed="81"/>
            <rFont val="宋体"/>
            <family val="2"/>
            <charset val="134"/>
          </rPr>
          <t>Does not include current accounts payable or extra cash in bank</t>
        </r>
      </text>
    </comment>
  </commentList>
</comments>
</file>

<file path=xl/sharedStrings.xml><?xml version="1.0" encoding="utf-8"?>
<sst xmlns="http://schemas.openxmlformats.org/spreadsheetml/2006/main" count="11705" uniqueCount="1211">
  <si>
    <t>Team Building (dinner)</t>
  </si>
  <si>
    <t>Wire Transfer Fee</t>
  </si>
  <si>
    <t>Holly Chang salary Jan. 2014</t>
  </si>
  <si>
    <t>Faye Pu salary Jan. 2014</t>
  </si>
  <si>
    <t>Mingzhe Yang salary Jan. 2014</t>
  </si>
  <si>
    <t>Mingzhe Yang Consulting fee Jan. 2014</t>
  </si>
  <si>
    <t>Faye Pu consulting fee Jan. 2014</t>
  </si>
  <si>
    <t>Jessica Chong Salary Jan. 2014</t>
  </si>
  <si>
    <t>Alyssa Farrelly salary Jan. 2014</t>
  </si>
  <si>
    <t>Stuart Wan salary Jan. 2014</t>
  </si>
  <si>
    <t>Lu Jun Salary Jan. 2014</t>
  </si>
  <si>
    <t>Jiang Qubo Salary Jan. 2014</t>
  </si>
  <si>
    <t>Zhang Heng Salary Jan. 2014</t>
  </si>
  <si>
    <t>ZHANG HENG</t>
  </si>
  <si>
    <t>George Ding Salary Jan. 2014</t>
  </si>
  <si>
    <t>Taxi - Faye Pu go to China Ever Bright Bank to withdraw money</t>
  </si>
  <si>
    <t>Social Insurance medical - HC, MZ, FP Jan 2014</t>
  </si>
  <si>
    <t>Social insurance - HC, FP, MZ Jan 2014</t>
  </si>
  <si>
    <t>Helen drive meeting with HC</t>
  </si>
  <si>
    <t>09 - OTHER EMPLOYEE BENEFITS</t>
  </si>
  <si>
    <t>07 - OTHER SALARY AND WAGES</t>
  </si>
  <si>
    <t>BOA</t>
  </si>
  <si>
    <t>David Faure writer's fee</t>
  </si>
  <si>
    <t>PP1.1 - Salary &amp; Benefits - Program Lead</t>
  </si>
  <si>
    <t>PP1.2 Salary &amp; Benefits - Op Manager</t>
  </si>
  <si>
    <t>PP1.3 Salary &amp; Benefits - Writer &amp; Online Comm Mgr</t>
  </si>
  <si>
    <t>PP2.0 Technology Dev</t>
  </si>
  <si>
    <t>PP3.0 Rent &amp; Utilities</t>
  </si>
  <si>
    <t>GRANT BUDGET CATEGORIES</t>
  </si>
  <si>
    <t>GR1.1 - Salary - Lead</t>
  </si>
  <si>
    <t>GR1.2 - Salary - US Pgm Mgr</t>
  </si>
  <si>
    <t>Bill pay check - Liane Pei Reimbursement for Train</t>
  </si>
  <si>
    <t>GR1.3 - Salary - CN Pgm Mgr</t>
  </si>
  <si>
    <t>GR2.3 - Events - Annual</t>
  </si>
  <si>
    <t>GR2.2 - Events - CN</t>
  </si>
  <si>
    <t>GR2.1 - Events - US</t>
  </si>
  <si>
    <t>GR3.1 - Marketg/PR - Social Media</t>
  </si>
  <si>
    <t>GR3.2 - Marketg/PR - Videos &amp; Photo</t>
  </si>
  <si>
    <t>GR3.3 - Marketg/PR - Media Intxn</t>
  </si>
  <si>
    <t>GR4.0 - Travel</t>
  </si>
  <si>
    <t>GR5.1 - Overhead - Rent</t>
  </si>
  <si>
    <t>GR5.2 - Legal / Acct</t>
  </si>
  <si>
    <t>1b - Membership dues</t>
  </si>
  <si>
    <t>1c - Fundraising events</t>
  </si>
  <si>
    <t>1d - Related organizations</t>
  </si>
  <si>
    <t>1e - Government grants</t>
  </si>
  <si>
    <t>1f - All other contributions, gifts, grants, and similar amounts not included above</t>
  </si>
  <si>
    <t>2 - Program Service Revenue:  NGO Service Fee Revenue</t>
  </si>
  <si>
    <t>3 - Investment income (including dividends, interest, and other similar amounts)</t>
  </si>
  <si>
    <t>Rockefeller Brothers Fund</t>
  </si>
  <si>
    <t>no restriction</t>
  </si>
  <si>
    <t>05 - COMPENSATION OF CURRENT OFFICERS, DIRECTORS, TRUSTEES AND KEY EMPLOYEES</t>
  </si>
  <si>
    <r>
      <t xml:space="preserve">09 - </t>
    </r>
    <r>
      <rPr>
        <sz val="9"/>
        <color indexed="8"/>
        <rFont val="Arial"/>
        <family val="2"/>
      </rPr>
      <t>OTHER EMPLOYEE BENEFITS</t>
    </r>
  </si>
  <si>
    <r>
      <t xml:space="preserve">07 - </t>
    </r>
    <r>
      <rPr>
        <sz val="9"/>
        <color indexed="8"/>
        <rFont val="Arial"/>
        <family val="2"/>
      </rPr>
      <t>OTHER SALARY AND WAGES</t>
    </r>
  </si>
  <si>
    <t>CMB writer's fee x 4  people (David Faure, Vivian Lin, Darwin Stapleton, Pam Redmon)</t>
  </si>
  <si>
    <t>Social Insurance - Medical - HC, FP, MZ Dec 2013</t>
  </si>
  <si>
    <t>SOCIAL INSURANCE BUREAU BEIJING</t>
  </si>
  <si>
    <t>EBB</t>
  </si>
  <si>
    <t>Social insurancel - HC, FP, MZ Dec 2013</t>
  </si>
  <si>
    <t>Print and Express Fee for Form 5300</t>
  </si>
  <si>
    <t>VERONA STATION</t>
  </si>
  <si>
    <t>Cash</t>
  </si>
  <si>
    <t>BoA</t>
  </si>
  <si>
    <t>CMB Writer's fee - Carolines Reeves</t>
  </si>
  <si>
    <t>CAROLINES REEVES US</t>
  </si>
  <si>
    <t>CMB Writer's fee - Joan Kaufman</t>
  </si>
  <si>
    <t>JOAN KAUFMAN US</t>
  </si>
  <si>
    <t>CMB Writer's fee - Fan Li</t>
  </si>
  <si>
    <t>FAN LI</t>
  </si>
  <si>
    <t>CMB Writer's fee - Mark Sidel</t>
  </si>
  <si>
    <t>MARK SIDEL</t>
  </si>
  <si>
    <t>Translation Fee - Tianshen Rong</t>
  </si>
  <si>
    <t>TIANSHEN RONG</t>
  </si>
  <si>
    <t>Stuart Wan Birthday Presents</t>
  </si>
  <si>
    <t>BoC FP</t>
  </si>
  <si>
    <t>Holly Chang phone bill</t>
  </si>
  <si>
    <t>House Fund - FP, MZ</t>
  </si>
  <si>
    <t>Coffee - Holly Chang meeting with Jessica Chong</t>
  </si>
  <si>
    <t>JINGSHUILIUSHEN BEIJING</t>
  </si>
  <si>
    <t>Car Reimbursement - MZ got ot tax bureau with Wang Xia</t>
  </si>
  <si>
    <t>Payroll taxes - HC, FP, MZ Dec 2013</t>
  </si>
  <si>
    <t>construction tax, education supplementary tax, local education supplementary tax</t>
  </si>
  <si>
    <t>Milk</t>
  </si>
  <si>
    <t>Macbook adapter MB572FE/B</t>
  </si>
  <si>
    <t>APPLE CHINA</t>
  </si>
  <si>
    <t>Express Fee</t>
  </si>
  <si>
    <t>CMB Writer's Fee - Ray Yip</t>
  </si>
  <si>
    <t>RAY YIP BEIJING</t>
  </si>
  <si>
    <t>Water Bill Jan. 2014</t>
  </si>
  <si>
    <t>Water Bill Nov. 2013</t>
  </si>
  <si>
    <t>Water Bill Dec. 2013</t>
  </si>
  <si>
    <t>Stickers for embassy event 200 pages</t>
  </si>
  <si>
    <t>Pin for China map for embassy event 15 packs</t>
  </si>
  <si>
    <t>Service fee for accounting and address change</t>
  </si>
  <si>
    <r>
      <t>B</t>
    </r>
    <r>
      <rPr>
        <sz val="9"/>
        <color indexed="8"/>
        <rFont val="Arial"/>
        <family val="2"/>
      </rPr>
      <t>OA</t>
    </r>
    <phoneticPr fontId="51" type="noConversion"/>
  </si>
  <si>
    <t>BOA</t>
    <phoneticPr fontId="51" type="noConversion"/>
  </si>
  <si>
    <t>BOC HC</t>
    <phoneticPr fontId="51" type="noConversion"/>
  </si>
  <si>
    <t>BOC FP</t>
    <phoneticPr fontId="51" type="noConversion"/>
  </si>
  <si>
    <t>HC PAID</t>
    <phoneticPr fontId="51" type="noConversion"/>
  </si>
  <si>
    <t>Dec 2013 Net Equity</t>
    <phoneticPr fontId="41" type="noConversion"/>
  </si>
  <si>
    <t>2013 Dec.</t>
    <phoneticPr fontId="51" type="noConversion"/>
  </si>
  <si>
    <t>BOC FP</t>
  </si>
  <si>
    <t>HC PAID</t>
  </si>
  <si>
    <r>
      <rPr>
        <sz val="9"/>
        <color indexed="8"/>
        <rFont val="Arial"/>
        <family val="2"/>
      </rPr>
      <t>Return funds</t>
    </r>
    <r>
      <rPr>
        <sz val="9"/>
        <color indexed="8"/>
        <rFont val="Arial"/>
        <family val="2"/>
      </rPr>
      <t xml:space="preserve"> to CMB</t>
    </r>
  </si>
  <si>
    <t>RMB Cash,Bank,HC paid</t>
  </si>
  <si>
    <r>
      <t>HC</t>
    </r>
    <r>
      <rPr>
        <sz val="9"/>
        <color indexed="8"/>
        <rFont val="Arial"/>
        <family val="2"/>
      </rPr>
      <t xml:space="preserve"> PAID</t>
    </r>
  </si>
  <si>
    <t>19 - CONFERENCES, CONVENTIONS AND MEETINGS</t>
  </si>
  <si>
    <t>11c - FEES FOR SERVICES (NON-EMPLOYEES) - ACCOUNTING</t>
  </si>
  <si>
    <t>11a - FEES FOR SERVICES (NON-EMPLOYEES) - MANAGEMENT</t>
  </si>
  <si>
    <t>11g - FEES FOR SERVICES (NON-EMPLOYEES) - OTHER</t>
  </si>
  <si>
    <t>11b - FEES FOR SERVICES (NON-EMPLOYEES) - LEGAL</t>
  </si>
  <si>
    <t>14 - INFORMATION TECHNOLOGY</t>
  </si>
  <si>
    <t>23 - INSURANCE</t>
  </si>
  <si>
    <t>16 - OCCUPANCY</t>
  </si>
  <si>
    <t>13 - OFFICE EXPENSES</t>
  </si>
  <si>
    <r>
      <rPr>
        <sz val="9"/>
        <color indexed="8"/>
        <rFont val="Arial"/>
        <family val="2"/>
      </rPr>
      <t xml:space="preserve">24a - </t>
    </r>
    <r>
      <rPr>
        <sz val="9"/>
        <color indexed="8"/>
        <rFont val="Arial"/>
        <family val="2"/>
      </rPr>
      <t>OTHER:  GOVERNMENT-RELATED FEES</t>
    </r>
  </si>
  <si>
    <r>
      <rPr>
        <sz val="9"/>
        <color indexed="8"/>
        <rFont val="Arial"/>
        <family val="2"/>
      </rPr>
      <t xml:space="preserve">10 - </t>
    </r>
    <r>
      <rPr>
        <sz val="9"/>
        <color indexed="8"/>
        <rFont val="Arial"/>
        <family val="2"/>
      </rPr>
      <t>PAYROLL TAXES</t>
    </r>
  </si>
  <si>
    <r>
      <rPr>
        <sz val="9"/>
        <color indexed="8"/>
        <rFont val="Arial"/>
        <family val="2"/>
      </rPr>
      <t xml:space="preserve">17 - </t>
    </r>
    <r>
      <rPr>
        <sz val="9"/>
        <color indexed="8"/>
        <rFont val="Arial"/>
        <family val="2"/>
      </rPr>
      <t>TRAVEL: PUBLIC TRANSPORTATION</t>
    </r>
  </si>
  <si>
    <t>10 - PROJECT PENGYOU</t>
  </si>
  <si>
    <t>11 - HNC</t>
  </si>
  <si>
    <t>13 - NONPROFIT SECTOR RESEARCH &amp; ENGAGEMENT</t>
  </si>
  <si>
    <t>01 - FINANCE</t>
  </si>
  <si>
    <t>02 - LEGAL</t>
  </si>
  <si>
    <t>03 - MANAGEMENT &amp; GENERAL</t>
  </si>
  <si>
    <t>04 - FUNDRAISING</t>
  </si>
  <si>
    <t>FUNCTIONAL EXPENSES</t>
  </si>
  <si>
    <t>9 - OTHER EMPLOYEE BENEFITS</t>
  </si>
  <si>
    <t>10 - PAYROLL TAXES</t>
  </si>
  <si>
    <t>11d - FEES FOR SERVICES (NON-EMPLOYEES) - LOBBYING</t>
  </si>
  <si>
    <t>11e - FEES FOR SERVICES (NON-EMPLOYEES) - PROFESSIONAL FUNDRAISING SERVICES</t>
  </si>
  <si>
    <t>11f - FEES FOR SERVICES (NON-EMPLOYEES) - INVESTMENT MANAGEMENT FEES</t>
  </si>
  <si>
    <t>12 - ADVERTISING AND PROMOTION</t>
  </si>
  <si>
    <t>17 - TRAVEL</t>
  </si>
  <si>
    <t xml:space="preserve">21 - PAYMENT TO AFFILIATES </t>
  </si>
  <si>
    <t>RAILWAY BUREAU CHINA</t>
  </si>
  <si>
    <t>JESSICA CHONG BEIJING</t>
  </si>
  <si>
    <t>Thanksgiving dinner event food</t>
  </si>
  <si>
    <t>ZHANG HENG HAINAN</t>
  </si>
  <si>
    <t>Stuart Wan train ticket Beijing - Haikou</t>
  </si>
  <si>
    <t>Car - MZ meeting with Yanglaoshi EB Bank + parking</t>
  </si>
  <si>
    <t>1210 Event Yilabao</t>
  </si>
  <si>
    <t>House fund - FP Dec. 2013</t>
  </si>
  <si>
    <t>House fund - MZ Dec. 2013</t>
  </si>
  <si>
    <t>HC cellphone fare</t>
  </si>
  <si>
    <t>office rent 12/2013 - 2/2014</t>
  </si>
  <si>
    <t>Payroll tax - HC, FP, MZ Nov. 2013</t>
  </si>
  <si>
    <t>Office supply - toilet paper bucket trash bags</t>
  </si>
  <si>
    <t>YIHAODIAN.COM</t>
  </si>
  <si>
    <t>Alyssa finger print for Z Visa + Express</t>
  </si>
  <si>
    <t>LOCAL MARKET VENDOR USA</t>
  </si>
  <si>
    <t>Buy checks from EB Bank</t>
  </si>
  <si>
    <t>EB BANK</t>
  </si>
  <si>
    <t>Mingzhe Yang Consulting fee Nov.2013</t>
  </si>
  <si>
    <t>Faye Pu consulting fee Nov.2013</t>
  </si>
  <si>
    <t>CMB writer's fee Wang Zhenyao</t>
  </si>
  <si>
    <t>WANG ZHENYAO BEIJING</t>
  </si>
  <si>
    <t>CMB writer's fee Zi Zhongyun</t>
  </si>
  <si>
    <t>ZI ZHONGYUN BEIJING</t>
  </si>
  <si>
    <t>CMB writer's fee Zhang Xiulan</t>
  </si>
  <si>
    <t>ZHANG XIULAN BEIJING</t>
  </si>
  <si>
    <t>CMB writer's fee Deng Guosheng</t>
  </si>
  <si>
    <t>Taxi - HC lunch with Jason Park</t>
  </si>
  <si>
    <t>Buy electricity</t>
  </si>
  <si>
    <t>Electric heater</t>
  </si>
  <si>
    <t>CMB writer's fee Xu Yongguang</t>
  </si>
  <si>
    <t>XU YONGGUANG BEIJING</t>
  </si>
  <si>
    <t>CMB AUTHORS</t>
  </si>
  <si>
    <t>Bank of America wire transfer fee</t>
  </si>
  <si>
    <t>HELEN HUANG USA</t>
  </si>
  <si>
    <t>Car - National tax bureau - Office 40km，Office - EB Bank *4 20km</t>
  </si>
  <si>
    <t>Mingzhe Yang Consulting fee Dec.2013</t>
  </si>
  <si>
    <t>Faye Pu consulting fee Dec.2013</t>
  </si>
  <si>
    <t>Mingzhe Yang salary Dec.2013</t>
  </si>
  <si>
    <t>Faye Pu salary Dec.2013</t>
  </si>
  <si>
    <t>Holly Chang salary Dec.2013</t>
  </si>
  <si>
    <t>N</t>
    <phoneticPr fontId="51" type="noConversion"/>
  </si>
  <si>
    <t>Donation of salary</t>
    <phoneticPr fontId="41" type="noConversion"/>
  </si>
  <si>
    <t>DONOR</t>
    <phoneticPr fontId="41" type="noConversion"/>
  </si>
  <si>
    <t>2013 Mar.</t>
    <phoneticPr fontId="41" type="noConversion"/>
  </si>
  <si>
    <t>TAXI BEIJING</t>
  </si>
  <si>
    <t>Office cleaning fee</t>
  </si>
  <si>
    <t>CHINA MOBILE BEIJING</t>
  </si>
  <si>
    <t>LU JUN HAINAN</t>
  </si>
  <si>
    <t>JIANG QUBO HAINAN</t>
  </si>
  <si>
    <t>STUART WAN HAINAN</t>
  </si>
  <si>
    <t>1655 10TH AVE SF CA USA</t>
  </si>
  <si>
    <t>Office landline fare 65157574</t>
  </si>
  <si>
    <t>2013 Feb.</t>
    <phoneticPr fontId="41" type="noConversion"/>
  </si>
  <si>
    <t>RMB Cash</t>
  </si>
  <si>
    <t>Liane Pei consulting fee</t>
  </si>
  <si>
    <t>Cash In</t>
  </si>
  <si>
    <t>Transfer In</t>
  </si>
  <si>
    <t>Cash Out</t>
  </si>
  <si>
    <t>Transfer Out</t>
  </si>
  <si>
    <t>Check by</t>
  </si>
  <si>
    <t>BANK ACCOUNT</t>
  </si>
  <si>
    <t>Bank of America (GBF)</t>
  </si>
  <si>
    <t>HC</t>
  </si>
  <si>
    <t>China Everbright Bank (Chuangsi)</t>
  </si>
  <si>
    <t>MZ</t>
  </si>
  <si>
    <t>Bank of China (FP)</t>
  </si>
  <si>
    <t>FP</t>
  </si>
  <si>
    <t>Bank of China (HC)</t>
  </si>
  <si>
    <t>exchange rate</t>
  </si>
  <si>
    <t>Balance at Beginning</t>
    <phoneticPr fontId="51" type="noConversion"/>
  </si>
  <si>
    <t>Balance at End</t>
    <phoneticPr fontId="51" type="noConversion"/>
  </si>
  <si>
    <t>Change</t>
    <phoneticPr fontId="51" type="noConversion"/>
  </si>
  <si>
    <t>TOTAL (CONV. USD)</t>
    <phoneticPr fontId="51" type="noConversion"/>
  </si>
  <si>
    <t>Bank of America (GBF)</t>
    <phoneticPr fontId="51" type="noConversion"/>
  </si>
  <si>
    <t>TOTAL CHECKING / SAVINGS</t>
    <phoneticPr fontId="51" type="noConversion"/>
  </si>
  <si>
    <t>Brand Registration ($7320 - $3,500 retained + $25)</t>
    <phoneticPr fontId="43" type="noConversion"/>
  </si>
  <si>
    <t>=</t>
    <phoneticPr fontId="51" type="noConversion"/>
  </si>
  <si>
    <t>Total Liabilities</t>
  </si>
  <si>
    <t>Equity</t>
  </si>
  <si>
    <t>2008 Net Equity</t>
  </si>
  <si>
    <t>2009 Net Equity</t>
  </si>
  <si>
    <t>Vivian Lin writer's fee</t>
  </si>
  <si>
    <t>VIVIAN LIN</t>
  </si>
  <si>
    <t>Mr. Komatra writer's fee</t>
  </si>
  <si>
    <t>KOMATRA</t>
  </si>
  <si>
    <t>Taxi - HC ，Wang Ming farewell for John Fitzgerald</t>
  </si>
  <si>
    <t>0724 event - VIP coffee</t>
  </si>
  <si>
    <t>PAMIR CONSULTING COMPANY</t>
  </si>
  <si>
    <t>House fund - FP Jul. 2013</t>
  </si>
  <si>
    <t>House fund - MZ Jul. 2013</t>
  </si>
  <si>
    <t>Holly Chang Salary July 2013</t>
  </si>
  <si>
    <t>2013 Dec.</t>
    <phoneticPr fontId="41" type="noConversion"/>
  </si>
  <si>
    <t>HC passport fee</t>
  </si>
  <si>
    <t>Alyssa Visa run flight ticket</t>
  </si>
  <si>
    <t>Social Insurance Medical Nov.2013</t>
  </si>
  <si>
    <t>Social Insurance - HC MZ FP Nov.2013</t>
  </si>
  <si>
    <t>Chang Hong-Ling Z visa fee</t>
  </si>
  <si>
    <t>POLICE CHINA</t>
  </si>
  <si>
    <t>Fapiao Machine + computer + printer</t>
  </si>
  <si>
    <t>HC go to Zhen Jiang - train + flight</t>
  </si>
  <si>
    <t>Mingzhe Yang Salary Jul. 2013</t>
  </si>
  <si>
    <t>Faye Pu Salary Jul. 2013</t>
  </si>
  <si>
    <t>HNC schwag samples</t>
  </si>
  <si>
    <t>Mingzhe Yang Consulting Fee July 2013</t>
  </si>
  <si>
    <t>Faye Pu Consulting Fee July 2013</t>
  </si>
  <si>
    <t>Taxi - HC back to Beijing Airport - Home (Russia)</t>
  </si>
  <si>
    <t>Taxi - HC meeting with Mei Yan</t>
  </si>
  <si>
    <t>Taxi - HC Lunch with UW and Xu Yongguang</t>
  </si>
  <si>
    <t>Taxi - HC  briefing with UW</t>
  </si>
  <si>
    <t>FINANCIAL STATEMENTS</t>
    <phoneticPr fontId="41" type="noConversion"/>
  </si>
  <si>
    <t>Balance at Beginning</t>
    <phoneticPr fontId="51" type="noConversion"/>
  </si>
  <si>
    <t>Balance at End</t>
    <phoneticPr fontId="51" type="noConversion"/>
  </si>
  <si>
    <t>TOTAL (CONV. USD)</t>
    <phoneticPr fontId="51" type="noConversion"/>
  </si>
  <si>
    <t>TOTAL CHECKING / SAVINGS</t>
    <phoneticPr fontId="51" type="noConversion"/>
  </si>
  <si>
    <t>Balance at Beginning</t>
    <phoneticPr fontId="51" type="noConversion"/>
  </si>
  <si>
    <t>Balance at End</t>
    <phoneticPr fontId="51" type="noConversion"/>
  </si>
  <si>
    <t>TOTAL (CONV. USD)</t>
    <phoneticPr fontId="51" type="noConversion"/>
  </si>
  <si>
    <t>TOTAL CHECKING / SAVINGS</t>
    <phoneticPr fontId="51" type="noConversion"/>
  </si>
  <si>
    <t>TOTAL CHECKING / SAVINGS</t>
    <phoneticPr fontId="51" type="noConversion"/>
  </si>
  <si>
    <t>Initial Balance</t>
  </si>
  <si>
    <t>Balance at Beginning</t>
    <phoneticPr fontId="51" type="noConversion"/>
  </si>
  <si>
    <t>MONTHLY TOTAL</t>
    <phoneticPr fontId="51" type="noConversion"/>
  </si>
  <si>
    <t xml:space="preserve">2013 PROGRAM EXPENSES BY MONTH </t>
    <phoneticPr fontId="51" type="noConversion"/>
  </si>
  <si>
    <t>BALANCE STATEMENT</t>
    <phoneticPr fontId="41" type="noConversion"/>
  </si>
  <si>
    <t>(see total)</t>
    <phoneticPr fontId="41" type="noConversion"/>
  </si>
  <si>
    <t>PROGRAM EXPENSES SUBTOTAL</t>
    <phoneticPr fontId="41" type="noConversion"/>
  </si>
  <si>
    <t>HC Travel Insurance</t>
  </si>
  <si>
    <t>PINGAN OF CHINA</t>
  </si>
  <si>
    <t>Tote bag sample - HNC</t>
  </si>
  <si>
    <t>TAOBAO.COM</t>
  </si>
  <si>
    <t>Lunch waiting Richard Buangan （AF，GD，HC）</t>
  </si>
  <si>
    <t>POTBELLY SANDWICH SHOP</t>
  </si>
  <si>
    <t>HC coffee with Richard Buangan</t>
  </si>
  <si>
    <t>CASEYS COFFEE</t>
  </si>
  <si>
    <t>House fund - FP Jun. 2013</t>
  </si>
  <si>
    <t>HOUSE FUND CENTER BEIJING</t>
  </si>
  <si>
    <t>Social Insurance - HC, FP, MZ Jun. 2013</t>
  </si>
  <si>
    <t>0704 bbq event - Grill</t>
  </si>
  <si>
    <t>0704 bbq event - food, tools, drinks</t>
  </si>
  <si>
    <t>Cash Flow Statement</t>
    <phoneticPr fontId="41" type="noConversion"/>
  </si>
  <si>
    <t>Balance Statement</t>
    <phoneticPr fontId="41" type="noConversion"/>
  </si>
  <si>
    <t>IBIZA KTV BEIJING</t>
  </si>
  <si>
    <t>Team building - HaiDiLao</t>
  </si>
  <si>
    <t>TOTAL EXPENSES</t>
  </si>
  <si>
    <t>Grant Funds Balance</t>
    <phoneticPr fontId="41" type="noConversion"/>
  </si>
  <si>
    <t>Profit &amp; Loss Summary Report</t>
    <phoneticPr fontId="41" type="noConversion"/>
  </si>
  <si>
    <t>Accounts Payable (Checks not cleared)</t>
    <phoneticPr fontId="41" type="noConversion"/>
  </si>
  <si>
    <t>Donation for Project Pengyou</t>
    <phoneticPr fontId="41" type="noConversion"/>
  </si>
  <si>
    <t>Ford Foundation</t>
    <phoneticPr fontId="41" type="noConversion"/>
  </si>
  <si>
    <t>Donation for100K Grassroots</t>
    <phoneticPr fontId="41" type="noConversion"/>
  </si>
  <si>
    <t>2013 TO DATE</t>
    <phoneticPr fontId="41" type="noConversion"/>
  </si>
  <si>
    <t>office cleaning + supplies</t>
  </si>
  <si>
    <t>2013 July</t>
  </si>
  <si>
    <t>Jun 2013 Net Equity</t>
    <phoneticPr fontId="41" type="noConversion"/>
  </si>
  <si>
    <t>Jul 2013 Net Equity</t>
    <phoneticPr fontId="41" type="noConversion"/>
  </si>
  <si>
    <t>BOA</t>
    <phoneticPr fontId="43" type="noConversion"/>
  </si>
  <si>
    <t>RMB Cash</t>
    <phoneticPr fontId="43" type="noConversion"/>
  </si>
  <si>
    <t>Bank EB</t>
    <phoneticPr fontId="43" type="noConversion"/>
  </si>
  <si>
    <t>Car - MZ office - I&amp;C bureau - office *2</t>
  </si>
  <si>
    <t>Taxi - United Way meeting - Tianshen</t>
  </si>
  <si>
    <t>Drinking water * 20</t>
  </si>
  <si>
    <t>SF Office rent</t>
  </si>
  <si>
    <t>HC - trip to Russia - Hotel</t>
  </si>
  <si>
    <t>Taxi - AF - US Embassy July 4th Event</t>
  </si>
  <si>
    <t>Payroll tax - HC, FP, MZ Jun. 2013</t>
  </si>
  <si>
    <t>0724 event - soft drinks</t>
  </si>
  <si>
    <t>Holly Chang Phone Bill</t>
  </si>
  <si>
    <t>CHINA UNICOM</t>
  </si>
  <si>
    <t>LOCAL TAX BUREAU BEIJING</t>
  </si>
  <si>
    <t>ALYSSA FARRELLY BEIJING</t>
  </si>
  <si>
    <t>*Exchange rate</t>
  </si>
  <si>
    <t>2013 Jan.</t>
    <phoneticPr fontId="41" type="noConversion"/>
  </si>
  <si>
    <t>CASH AT BEGINNING OF PERIOD</t>
  </si>
  <si>
    <t>CASH OUT / OPERATIONAL EXPENSES</t>
  </si>
  <si>
    <t>NET INCOME</t>
  </si>
  <si>
    <t>ADJUSTMENTS</t>
  </si>
  <si>
    <t>NET CASH</t>
  </si>
  <si>
    <t>ASSETS</t>
  </si>
  <si>
    <t>Current Assets</t>
  </si>
  <si>
    <t>Total Current Assets</t>
  </si>
  <si>
    <t>TOTAL ASSETS</t>
  </si>
  <si>
    <t>LIABILITIES &amp; EQUITY</t>
  </si>
  <si>
    <t>Liabilities</t>
  </si>
  <si>
    <t>Social Insurance medical - HC, MZ, FP Dec. 2012</t>
  </si>
  <si>
    <t>Payment for web designer</t>
  </si>
  <si>
    <t>Faye Hong Shanghai</t>
  </si>
  <si>
    <t>Car - Office - EverBright Bank - Office</t>
  </si>
  <si>
    <t>2010 Net Equity</t>
  </si>
  <si>
    <t>2011 Net Equity</t>
  </si>
  <si>
    <t>Total Equity</t>
  </si>
  <si>
    <t>Taxi - HC dinner with UW and Chinese philanthropy</t>
  </si>
  <si>
    <t>Taxi - HC APSA Event</t>
  </si>
  <si>
    <t>Taxi - HC dinner with Foundation leaders</t>
  </si>
  <si>
    <t>Project Pengyou development - Bootstrap (Lu Jun &amp; Jiang Qubo)</t>
  </si>
  <si>
    <t>HONG-LING CHANG BEIJING</t>
  </si>
  <si>
    <t>Taxi - HC attend Embassy event</t>
  </si>
  <si>
    <t>BEIJING ELECTRIC COMPANY</t>
  </si>
  <si>
    <t>TOTAL LIABILITIES &amp; EQUITY</t>
  </si>
  <si>
    <t>TOTAL</t>
  </si>
  <si>
    <t>INCOME</t>
  </si>
  <si>
    <t>He Yuan translation fee</t>
  </si>
  <si>
    <t>HE YUAN BEIJING</t>
  </si>
  <si>
    <t>Social Insurance - HC, MZ, FP Dec. 2013</t>
  </si>
  <si>
    <t>Office supply - router, glue stick, cartridges*3</t>
  </si>
  <si>
    <t>SUPPORTIVE EXPENSES SUBTOTAL</t>
    <phoneticPr fontId="41" type="noConversion"/>
  </si>
  <si>
    <t>PROGRAM EXPENSES &amp; GRANT FUNDS BALANCE (2013)</t>
    <phoneticPr fontId="41" type="noConversion"/>
  </si>
  <si>
    <t>PREVIOUS</t>
    <phoneticPr fontId="41" type="noConversion"/>
  </si>
  <si>
    <t>BALANCE STATEMENTS (MONTHLY)</t>
    <phoneticPr fontId="41" type="noConversion"/>
  </si>
  <si>
    <t>CASH IN / REVENUE</t>
    <phoneticPr fontId="41" type="noConversion"/>
  </si>
  <si>
    <t xml:space="preserve">Detailed Revenue Report  </t>
    <phoneticPr fontId="41" type="noConversion"/>
  </si>
  <si>
    <t>Beijing Company Expenses (vs Foundation)</t>
    <phoneticPr fontId="41" type="noConversion"/>
  </si>
  <si>
    <t xml:space="preserve">GOLDEN BRIDGES FOUNDATION </t>
    <phoneticPr fontId="41" type="noConversion"/>
  </si>
  <si>
    <t>Table of Contents</t>
    <phoneticPr fontId="41" type="noConversion"/>
  </si>
  <si>
    <t>Form 990 (Page 1 calculations)</t>
    <phoneticPr fontId="41" type="noConversion"/>
  </si>
  <si>
    <t>0</t>
    <phoneticPr fontId="41" type="noConversion"/>
  </si>
  <si>
    <t>CASH AT END OF PERIOD</t>
    <phoneticPr fontId="41" type="noConversion"/>
  </si>
  <si>
    <t>TOTAL</t>
    <phoneticPr fontId="41" type="noConversion"/>
  </si>
  <si>
    <t>PROGRAM EXPENSES</t>
    <phoneticPr fontId="51" type="noConversion"/>
  </si>
  <si>
    <t>Water bill May.2013</t>
  </si>
  <si>
    <t>BEIJING WATERWORKS GROUP</t>
  </si>
  <si>
    <t>Car - MZ go to I&amp;C Bureau *2</t>
  </si>
  <si>
    <t>Office Rent ( for project pengyou, 80% of ￥66000)</t>
  </si>
  <si>
    <t>LANDLORD BEIJING</t>
  </si>
  <si>
    <t>Office Rent (for management, 20% of ￥66000)</t>
  </si>
  <si>
    <t>Taxi - MZ, Faye add money for company</t>
  </si>
  <si>
    <t>Team building - Laoshi</t>
  </si>
  <si>
    <t>LAOSHI DUMPLING</t>
  </si>
  <si>
    <t>Bank Fee - Bank of America</t>
  </si>
  <si>
    <t>BANK OF AMERICA USA</t>
  </si>
  <si>
    <t>Stuart Wan flight from Haikou to Beijing</t>
  </si>
  <si>
    <t>Taxi - to State Dept. to meet Richard B. from Podesta DC</t>
  </si>
  <si>
    <t>Dinner Celebration after 100k Launch with AF，GD，HC</t>
  </si>
  <si>
    <t>FOUNDING FARMERS</t>
  </si>
  <si>
    <t>Office Cleaning fee</t>
  </si>
  <si>
    <t>House fund - MZ Jun. 2013</t>
  </si>
  <si>
    <t>Payroll tax - HC, FP, MZ May. 2013</t>
  </si>
  <si>
    <t>Team building - KTV</t>
  </si>
  <si>
    <t>ZHAOPENG BEIJING</t>
  </si>
  <si>
    <t>Car - MZ go to EverBright Bank</t>
  </si>
  <si>
    <t>Car - MZ, FP meeting with Yanglaoshi + Parking</t>
  </si>
  <si>
    <t>MINGZHE YANG BEJING</t>
  </si>
  <si>
    <t>Print Visa letter</t>
  </si>
  <si>
    <t>House fund - MZ May. 2013</t>
  </si>
  <si>
    <t>Taxi - FP&amp;MZ Third department report</t>
  </si>
  <si>
    <t>Taxi - HC attend Civil Society Event</t>
  </si>
  <si>
    <t>Taxi - Holly，Alyssa，George to see Richard Buangan in DC</t>
  </si>
  <si>
    <t>TAXI DC</t>
  </si>
  <si>
    <t>Coffee for AF，GD，HC in DC</t>
  </si>
  <si>
    <t>HAIDILAO BEIJING</t>
  </si>
  <si>
    <t>Taxi - Team building</t>
  </si>
  <si>
    <t>HNC Tote bag * 10, shipping, front money</t>
  </si>
  <si>
    <t>Taxi - GD&amp;AF interview with Yao Yang - HNC</t>
  </si>
  <si>
    <t>Food for AF，GD，HC in DC</t>
  </si>
  <si>
    <t>Change in Net Assets</t>
  </si>
  <si>
    <t>PROGRAM EXPENSES</t>
  </si>
  <si>
    <t>SUPPORT EXPENSES</t>
  </si>
  <si>
    <t>GB CHUANGSI CONSLTING</t>
  </si>
  <si>
    <t>United flight PEK-SFO May 17</t>
    <phoneticPr fontId="43" type="noConversion"/>
  </si>
  <si>
    <t>Taxi - 0704 bbq event purchasing</t>
  </si>
  <si>
    <t>Book For Research</t>
  </si>
  <si>
    <t>Office cleaning - 0704 event</t>
  </si>
  <si>
    <t>Office supply - coffee</t>
  </si>
  <si>
    <t>Express fee - Hainan chocolate</t>
  </si>
  <si>
    <t>SHUNFENG EXPRESS</t>
  </si>
  <si>
    <t>Expense Account</t>
  </si>
  <si>
    <t>Class</t>
  </si>
  <si>
    <t>Account</t>
  </si>
  <si>
    <t/>
  </si>
  <si>
    <t>LOCAL MARKET VENDOR BEIJING</t>
  </si>
  <si>
    <t>GEORGE DING BEIJING</t>
  </si>
  <si>
    <t>United Way event print fee</t>
  </si>
  <si>
    <t>0724 event - wine</t>
  </si>
  <si>
    <t>0724 event - office cleaning</t>
  </si>
  <si>
    <t>0724 event - Yilabao</t>
  </si>
  <si>
    <t>SOCIAL INSURANCE BUREAU</t>
  </si>
  <si>
    <t>Taxi - HC go to Russia</t>
  </si>
  <si>
    <t>2013 Jun.</t>
    <phoneticPr fontId="41" type="noConversion"/>
  </si>
  <si>
    <t>DAVID FAURE</t>
  </si>
  <si>
    <t>Landline + internet fee 64027671 2012.11-2013.01</t>
  </si>
  <si>
    <t>Lock *2</t>
  </si>
  <si>
    <t>Development payment for freelancers - Yeti milestone</t>
  </si>
  <si>
    <t>QUBO JIANG &amp; JUN LU</t>
  </si>
  <si>
    <t>Office supply - Coke + Ice</t>
  </si>
  <si>
    <t>HC phone bill</t>
  </si>
  <si>
    <t>House fund - FP Apr. 2013</t>
  </si>
  <si>
    <t>CHIAN MOBILE</t>
  </si>
  <si>
    <t>House fund - FP Feb. 2013</t>
  </si>
  <si>
    <t>House fund - MZ Feb. 2013</t>
  </si>
  <si>
    <t>Payroll tax - HC FP MZ Jan. 2013</t>
  </si>
  <si>
    <t>0409 Carola event - soft drink</t>
  </si>
  <si>
    <t>0409 Carola event - print Yilabao</t>
  </si>
  <si>
    <t>0409 Carola event - coffee for VIP guest</t>
  </si>
  <si>
    <t>FAYE PU  BEIJING</t>
  </si>
  <si>
    <t>Faye Pu consulting fee May. 2013</t>
  </si>
  <si>
    <t>House fund - MZ Apr. 2013</t>
  </si>
  <si>
    <t>Faye phone bill</t>
  </si>
  <si>
    <t>Office supply - toilet paper + sugar</t>
  </si>
  <si>
    <t>0409 Carola event - car - tianyi</t>
  </si>
  <si>
    <t>0409 Carola event - chips</t>
  </si>
  <si>
    <t>Bank of America</t>
    <phoneticPr fontId="51" type="noConversion"/>
  </si>
  <si>
    <t>0411 HNC event - nametag</t>
  </si>
  <si>
    <t>0411 HNC event - chopsticks</t>
  </si>
  <si>
    <t>PVC print fee Stuart+Obama for Harlem Shake</t>
  </si>
  <si>
    <t>Costume for Harlem Shake</t>
  </si>
  <si>
    <t>Electricity fee</t>
  </si>
  <si>
    <t>BEIJING ELECTRICITY COMPANY</t>
  </si>
  <si>
    <t>Holly Chang Salary Feb. 2013</t>
  </si>
  <si>
    <t>Faye Pu Salary Feb. 2013</t>
  </si>
  <si>
    <t>Mingzhe Yang Salary Feb. 2013</t>
  </si>
  <si>
    <t>House fund - MZ Jan. 2013</t>
  </si>
  <si>
    <t>Desk-top computer Dell I660R-278</t>
  </si>
  <si>
    <t>360BUY.COM</t>
  </si>
  <si>
    <t>TOTAL INCOME</t>
  </si>
  <si>
    <t>EXPENSES</t>
  </si>
  <si>
    <t>Social Insurance medical - HC, MZ, FP Mar. 2013</t>
  </si>
  <si>
    <t>Franchise Tax</t>
  </si>
  <si>
    <t>Buy electric for office</t>
  </si>
  <si>
    <t>Waterbill Apr. 2013</t>
  </si>
  <si>
    <t>Office landline fee 64027671</t>
  </si>
  <si>
    <t>0411 HNC event - catering</t>
  </si>
  <si>
    <t>Project Pengyou development - Lio (Lu Jun &amp; Jiang Qubo)</t>
  </si>
  <si>
    <t>George driving from airport to hotel in DC</t>
  </si>
  <si>
    <t>METROPOLITAN WASHINGTON AIRPORTS AUTHORITY</t>
  </si>
  <si>
    <t>Food for Alyssa George and Holly in DC</t>
  </si>
  <si>
    <t>CVS/PHARMACY</t>
  </si>
  <si>
    <t>Alyssa and Holly Dinner in DC at hotel</t>
  </si>
  <si>
    <t>LOCAL MARKET VENDOR DC</t>
  </si>
  <si>
    <t>Taxi - HC go to Airport for 100k Launch in DC</t>
  </si>
  <si>
    <t>Payroll Tax - HC, FP, MZ Feb.2013</t>
  </si>
  <si>
    <t>Taxi - Bookworm: HC - the inside track</t>
  </si>
  <si>
    <t>Freelancer payment for Snake milestone - Jiang Qubo</t>
  </si>
  <si>
    <t>Social Insurance medical - HC, MZ, FP Apr. 2013</t>
  </si>
  <si>
    <t>Social Insurance - HC, FP, MZ Apr. 2013</t>
  </si>
  <si>
    <t>HR company service fee Apr. - Jun. 2013</t>
  </si>
  <si>
    <t>BEIJING FOREIGN INVESTMENT SERVICE CENTER</t>
  </si>
  <si>
    <t>Accounting service fee （Half year）</t>
  </si>
  <si>
    <t>BEIJING SINCERE CONSULTING CO</t>
  </si>
  <si>
    <t>Social Insurance medical - HC, MZ, FP May. 2013</t>
  </si>
  <si>
    <t>Taxi - HC meeting with Elizabeth</t>
  </si>
  <si>
    <t>Coffee - HC meeting with Elizabeth</t>
  </si>
  <si>
    <t>STARBUCKS BEIJING</t>
  </si>
  <si>
    <t>Office supplies - chalks and binder clips</t>
  </si>
  <si>
    <t>LIANE PEI NYC</t>
  </si>
  <si>
    <t>Office Supply - Coffee * 2</t>
  </si>
  <si>
    <t>360BUY</t>
  </si>
  <si>
    <t>Cash Counter</t>
  </si>
  <si>
    <t>Taxi - HC meet with Elizebeth Knup</t>
  </si>
  <si>
    <t>Member fee for American Chamb</t>
  </si>
  <si>
    <t>HC dinner in NYC</t>
  </si>
  <si>
    <t>Name cards for HC GD AF</t>
  </si>
  <si>
    <t>Taxi - HC hotel to Asia Society in NYC</t>
  </si>
  <si>
    <t>Taxi - from hotel to Podesta for 100k meeting HC，AF，GD in DC</t>
  </si>
  <si>
    <t>Car - MZ meeting with Yanglaoshi Hr company I&amp;C Bureau</t>
  </si>
  <si>
    <t>HC- trip to Russia</t>
  </si>
  <si>
    <t>AIR CHINA</t>
  </si>
  <si>
    <t>Website URL renewal</t>
  </si>
  <si>
    <t>GODADDY USA</t>
  </si>
  <si>
    <t>HC - The American Chamber of Commerce - Event</t>
  </si>
  <si>
    <t>AMERICAN CHAMBER OF COMMERCE</t>
  </si>
  <si>
    <t>RF musice for HNC marking video</t>
  </si>
  <si>
    <t>PREMIUMBEAT.COM</t>
  </si>
  <si>
    <t>Income ID</t>
  </si>
  <si>
    <t>INCOME TYPE</t>
  </si>
  <si>
    <t>PROGRAM RESTRICTION</t>
  </si>
  <si>
    <t>ACCOUNT</t>
  </si>
  <si>
    <t>Holly Chang</t>
  </si>
  <si>
    <t>FOUNDATION</t>
  </si>
  <si>
    <t>Expense ID</t>
  </si>
  <si>
    <t>Date</t>
  </si>
  <si>
    <t>Memo</t>
  </si>
  <si>
    <t>Vendor</t>
  </si>
  <si>
    <t>Mingzhe Yang Salary Jun. 2013</t>
  </si>
  <si>
    <t>Social Insurance medical - HC, MZ, FP Jun. 2013</t>
  </si>
  <si>
    <t>Faye Pu consulting fee Jun. 2013</t>
  </si>
  <si>
    <t>FAYE PU BEIJING</t>
  </si>
  <si>
    <t>MINGZHE YANG BEIJING</t>
  </si>
  <si>
    <t>HOLLY CHANG BEIJING</t>
  </si>
  <si>
    <t>Social Insurance - HC, MZ, FP Jan. 2013</t>
  </si>
  <si>
    <t>Office cleaning</t>
  </si>
  <si>
    <t>Deng Guosheng writer's fee</t>
  </si>
  <si>
    <t>DENG GUOSHENG BEIJING</t>
  </si>
  <si>
    <t>HC meeting with Liane Pei</t>
  </si>
  <si>
    <t>LE PAIN QUOTIDIEN QPS NEW YORK</t>
  </si>
  <si>
    <t>TAXI NEW YORK</t>
  </si>
  <si>
    <t>HC lunch with Liane Pei</t>
  </si>
  <si>
    <t>BUGER HEAVEN NEW YORK</t>
  </si>
  <si>
    <t>Car rental fee &amp; gas</t>
  </si>
  <si>
    <t>HERTZ RENT NY</t>
  </si>
  <si>
    <t>HC hotel in CapeCod</t>
  </si>
  <si>
    <t>EXPEDIA.COM USA</t>
  </si>
  <si>
    <t>Taxi - HC shuttle to airport</t>
  </si>
  <si>
    <t>SUPERSHUTTLE</t>
  </si>
  <si>
    <t>Car - MZ go to local tax bureau for Fa Piao Ji</t>
  </si>
  <si>
    <t>Office supply - rounter</t>
  </si>
  <si>
    <t>Internet fare + setup 100M 1year</t>
  </si>
  <si>
    <t>BEIJING BROAD NETCOM</t>
  </si>
  <si>
    <t>Holly Chang Salary May. 2013</t>
  </si>
  <si>
    <t>Faye Pu Salary May. 2013</t>
  </si>
  <si>
    <t>SUPREME AIRPORT SHUTTLE</t>
  </si>
  <si>
    <t>Taxi - George HNC video</t>
  </si>
  <si>
    <t>TAIX BEIJING</t>
  </si>
  <si>
    <t>HC dinner with Richard Buangan</t>
  </si>
  <si>
    <t>Cash in Hand</t>
    <phoneticPr fontId="41" type="noConversion"/>
  </si>
  <si>
    <t>Accounts Payable (Reimbursements to Holly)</t>
    <phoneticPr fontId="51" type="noConversion"/>
  </si>
  <si>
    <t>PART 1</t>
    <phoneticPr fontId="51" type="noConversion"/>
  </si>
  <si>
    <t>Line #</t>
    <phoneticPr fontId="51" type="noConversion"/>
  </si>
  <si>
    <t>China Everbright Bank</t>
    <phoneticPr fontId="51" type="noConversion"/>
  </si>
  <si>
    <t>Bank of China (CHANG)</t>
    <phoneticPr fontId="51" type="noConversion"/>
  </si>
  <si>
    <t>0411 HNC event - napkin</t>
  </si>
  <si>
    <t>DALI COURTYARD BEIJING</t>
  </si>
  <si>
    <t>Taxi - HC Meeting with Carola</t>
  </si>
  <si>
    <t>Car - MZ&amp;TL meeting with Yanglaoshi</t>
  </si>
  <si>
    <t>Macy Ma Salary Feb. 2013</t>
  </si>
  <si>
    <t>Payroll tax - HC FP MZ Dec. 2012</t>
  </si>
  <si>
    <t>Taxi - HC for CYCAN board meeting</t>
  </si>
  <si>
    <t>HC NYC Subway</t>
  </si>
  <si>
    <t>MTA NYC TRANSIT</t>
  </si>
  <si>
    <t>2013 May.</t>
    <phoneticPr fontId="41" type="noConversion"/>
  </si>
  <si>
    <t>Company Income tax</t>
  </si>
  <si>
    <t>TAX BUREAU</t>
  </si>
  <si>
    <t>Head phone for computer</t>
  </si>
  <si>
    <t>House fund - FP Jan. 2013</t>
  </si>
  <si>
    <t>Social Insurance - HC, FP, MZ May. 2013</t>
  </si>
  <si>
    <t>Holly Chang cellphone fare</t>
  </si>
  <si>
    <t>RAILWAY BUREAU</t>
  </si>
  <si>
    <t>2013 Apr.</t>
    <phoneticPr fontId="41" type="noConversion"/>
  </si>
  <si>
    <t>PPY print fee for 100k launch in DC</t>
  </si>
  <si>
    <t>Taxi - HC president of SAIS in town with Emily</t>
  </si>
  <si>
    <t>CHINA UNICOM BEIJING</t>
  </si>
  <si>
    <t>Taxi - HC, AF meet with MeiYan</t>
  </si>
  <si>
    <t>Freelancer payment for Snake milestone - Lu Jun</t>
  </si>
  <si>
    <t>Taxi -Bookworn: HC,AF,GD Committing Journalism</t>
  </si>
  <si>
    <t>Stuart Wan Flight from Haikou to Beijing</t>
  </si>
  <si>
    <t>HAINAN AIRLINES</t>
  </si>
  <si>
    <t>Office Landline fare 65157574</t>
  </si>
  <si>
    <t>Holly Chang cell phone bill</t>
  </si>
  <si>
    <t>Mingzhe Yang Salary Apr. 2013</t>
  </si>
  <si>
    <t>Mingzhe Yang consulting fee Apr. 2013</t>
  </si>
  <si>
    <t>TANG LONG BEIJING</t>
  </si>
  <si>
    <t>SF office rent</t>
  </si>
  <si>
    <t>Car - MZ go to I&amp;C bureau</t>
  </si>
  <si>
    <t>Express fee Fedex</t>
  </si>
  <si>
    <t>FEDEX BEIJING</t>
  </si>
  <si>
    <t>Payroll tax - HC, FP, MZ Apr.2013</t>
  </si>
  <si>
    <t>California Franchise Tax</t>
  </si>
  <si>
    <t>Taxi - George train station - Nanjing HNC</t>
  </si>
  <si>
    <t>Taxi - HC &amp; GD go to Nanjing - HNC</t>
  </si>
  <si>
    <t>AMERICAN CHAMB BEIJING</t>
  </si>
  <si>
    <t>Social Insurance - HC, FP, MZ Mar. 2013</t>
  </si>
  <si>
    <t>Holly Chang Salary Mar.2013</t>
  </si>
  <si>
    <t>Taxi - HC &amp; GD meeting at Nanjing - HNC</t>
  </si>
  <si>
    <t>Taxi - to Richard's home to film This Pengyou Life HC，AF，GD in DC</t>
  </si>
  <si>
    <t>Taxi - Stuart from airport to hotel</t>
  </si>
  <si>
    <t>Alyssa dinner in NYC</t>
  </si>
  <si>
    <t>CHIPOTLE MEXICAN GRILL</t>
  </si>
  <si>
    <t>Taxi - HC hotel to Train Station to go to NYC （in DC）</t>
  </si>
  <si>
    <t>HC meeting with tech team Nanjing to Hainan &amp; Hainan to Beijing flight ticket</t>
  </si>
  <si>
    <t>HC&amp;GD go to Nanjing - HNC</t>
  </si>
  <si>
    <t>Car - Pick up bags</t>
  </si>
  <si>
    <t>#</t>
  </si>
  <si>
    <t xml:space="preserve">Detailed Expenses Report  </t>
  </si>
  <si>
    <t>RMB</t>
  </si>
  <si>
    <t>USD</t>
  </si>
  <si>
    <t>MEMO</t>
  </si>
  <si>
    <t>DATE</t>
  </si>
  <si>
    <t>Faye Pu Salary Jun. 2013</t>
  </si>
  <si>
    <t>JONATHAN BROWN BEIJING</t>
  </si>
  <si>
    <t>Macy Ma Salary Jan. 2013</t>
  </si>
  <si>
    <t>MACY MA BEIJING</t>
  </si>
  <si>
    <t>Mingzhe Yang consulting fee Jun. 2013</t>
  </si>
  <si>
    <t>Taxi - HC Hainan Back to Beijing</t>
  </si>
  <si>
    <t>Holly Chang Salary Jun. 2013</t>
  </si>
  <si>
    <t>Mingzhe Yang Salary Jan. 2013</t>
  </si>
  <si>
    <t>STUART WAN BEIJING</t>
  </si>
  <si>
    <t>SF EXPRESS</t>
  </si>
  <si>
    <t>Drinking water - 10 bottle</t>
  </si>
  <si>
    <t>PPY servers fee</t>
  </si>
  <si>
    <t>LINODE.COM</t>
  </si>
  <si>
    <t>HC coffee with Liane Pei</t>
  </si>
  <si>
    <t>ZHAO PENG BEIJING</t>
  </si>
  <si>
    <t>MTA NEW YORK</t>
  </si>
  <si>
    <t>AMTRAK .COM</t>
  </si>
  <si>
    <t>Company Registration Mailing</t>
  </si>
  <si>
    <t>USPS USA</t>
  </si>
  <si>
    <t>Shuttle to airport - NYC</t>
  </si>
  <si>
    <t>SUPERSHUTTLE EXECUCARN</t>
  </si>
  <si>
    <t>Lunch with Mei Ann</t>
  </si>
  <si>
    <t>Car - Meeting with Yanglaoshi</t>
  </si>
  <si>
    <t>Taix - AF interview for HNC video</t>
  </si>
  <si>
    <t>Taxi - Interview with Wang Yu - HNC</t>
  </si>
  <si>
    <t>Taxi - GD, AF interview Wang Yu - HNC</t>
  </si>
  <si>
    <t>Fa Piao Ji service fee</t>
  </si>
  <si>
    <t>BEIJING LANG CHAO</t>
  </si>
  <si>
    <t>METRO SMARTRP TDM WASHINGTON DC</t>
  </si>
  <si>
    <t>Shuttle form Airport - DC</t>
  </si>
  <si>
    <t>Net assets or fund balances</t>
    <phoneticPr fontId="51" type="noConversion"/>
  </si>
  <si>
    <t>Bank of China (PU)</t>
    <phoneticPr fontId="51" type="noConversion"/>
  </si>
  <si>
    <t>Long Term Liabilities - Loan from founder</t>
    <phoneticPr fontId="41" type="noConversion"/>
  </si>
  <si>
    <t>2007 Net Equity</t>
    <phoneticPr fontId="41" type="noConversion"/>
  </si>
  <si>
    <t>2012 Net Equity</t>
    <phoneticPr fontId="41" type="noConversion"/>
  </si>
  <si>
    <t>HC Yale Club Event</t>
  </si>
  <si>
    <t>YALE CLUB</t>
  </si>
  <si>
    <t>LU JUN HAINAN &amp; JIANG QUBO HAINAN</t>
  </si>
  <si>
    <t>JD.COM</t>
  </si>
  <si>
    <t>HC, Alyssa lunch with CSFlow founder Van Yang</t>
  </si>
  <si>
    <t>HC dinner with John Fitzgerald</t>
  </si>
  <si>
    <t>PINOTAGE BEIJING</t>
  </si>
  <si>
    <t>Stuart Wan Hainan Tech team meeting March - May</t>
  </si>
  <si>
    <t>LOCAL MARKET VENDOR HAINAN</t>
  </si>
  <si>
    <t>VPN for interns</t>
  </si>
  <si>
    <t>ASTRILL USA</t>
  </si>
  <si>
    <t>Wang Xia Service fee for Audit and increase number of shareholders</t>
  </si>
  <si>
    <t>WANG XIA BEIJING</t>
  </si>
  <si>
    <t>Print fee</t>
  </si>
  <si>
    <t>SF Office Rent</t>
  </si>
  <si>
    <t>Service fee for developer - Xuan Wu - Nio</t>
  </si>
  <si>
    <t>NIO BEIJING</t>
  </si>
  <si>
    <t>Baby present for Lu Jun</t>
  </si>
  <si>
    <t>CAFE PRESS</t>
  </si>
  <si>
    <t>Bank fee - BOC</t>
  </si>
  <si>
    <t>BANK OF CHINA</t>
  </si>
  <si>
    <t>Water bill Jan. - Mar. 2013</t>
  </si>
  <si>
    <t>4G USB stick * 50</t>
  </si>
  <si>
    <t>construction tax, education supplementary tax,  local education supplementary tax</t>
  </si>
  <si>
    <t>NATIONAL TAX BUREAU</t>
  </si>
  <si>
    <t>Camera equipment for 100k filming</t>
  </si>
  <si>
    <t>AMAZON.COM USA</t>
  </si>
  <si>
    <t>Ram for computer Kingston DDR3 1333 4G</t>
  </si>
  <si>
    <t>Car - Mingzhe meet with accountant</t>
  </si>
  <si>
    <t>Car - Mingzhe go to national tax bureau</t>
  </si>
  <si>
    <t>Payment for developer Bobo</t>
  </si>
  <si>
    <t>Payment for developer Lu Jun</t>
  </si>
  <si>
    <t>Taxi - Stuart Wan go to Airport</t>
  </si>
  <si>
    <t>Car - Office - Yanglaoshi - Office</t>
  </si>
  <si>
    <t>Key ring * 50 For USB Stick</t>
  </si>
  <si>
    <t>Office Rent (for project pengyou, 80% of ￥66000)</t>
  </si>
  <si>
    <t>Social Insurance - HC, FP, MZ Feb. 2013</t>
  </si>
  <si>
    <t>Print PVC - Goldenbridges</t>
  </si>
  <si>
    <t>Board meeting - food</t>
  </si>
  <si>
    <t>Skype phone bill</t>
  </si>
  <si>
    <t>SKYPE USA</t>
  </si>
  <si>
    <t>House fund - FP Mar. 2013</t>
  </si>
  <si>
    <t>House fund - MZ Mar. 2013</t>
  </si>
  <si>
    <t>Faye Pu Salary Apr. 2013</t>
  </si>
  <si>
    <t>Faye Pu consulting fee Apr. 2013</t>
  </si>
  <si>
    <t>85 BROADS TECH</t>
  </si>
  <si>
    <t>Taxi - HC Barcamp</t>
  </si>
  <si>
    <t>2007-2012 Net Equity</t>
    <phoneticPr fontId="41" type="noConversion"/>
  </si>
  <si>
    <t>Jan 2013 Net Equity</t>
    <phoneticPr fontId="41" type="noConversion"/>
  </si>
  <si>
    <t>Feb 2013 Net Equity</t>
    <phoneticPr fontId="41" type="noConversion"/>
  </si>
  <si>
    <t>Mar 2013 Net Equity</t>
    <phoneticPr fontId="41" type="noConversion"/>
  </si>
  <si>
    <t>Apr 2013 Net Equity</t>
    <phoneticPr fontId="41" type="noConversion"/>
  </si>
  <si>
    <t>May 2013 Net Equity</t>
    <phoneticPr fontId="41" type="noConversion"/>
  </si>
  <si>
    <t>Mingzhe Yang Salary May. 2013</t>
  </si>
  <si>
    <t>Mingzhe Yang consulting fee May. 2013</t>
  </si>
  <si>
    <t>HC Annual Health Insurance</t>
    <phoneticPr fontId="51" type="noConversion"/>
  </si>
  <si>
    <t>WILLIAM RUSSELL</t>
    <phoneticPr fontId="51" type="noConversion"/>
  </si>
  <si>
    <t>Professional fundraising fees</t>
    <phoneticPr fontId="51" type="noConversion"/>
  </si>
  <si>
    <t>b</t>
    <phoneticPr fontId="51" type="noConversion"/>
  </si>
  <si>
    <t>Total fundraising expenses</t>
    <phoneticPr fontId="51" type="noConversion"/>
  </si>
  <si>
    <t>Other expenses</t>
    <phoneticPr fontId="51" type="noConversion"/>
  </si>
  <si>
    <t>Revenue less expenses</t>
    <phoneticPr fontId="51" type="noConversion"/>
  </si>
  <si>
    <t>Net Assets or Fund Balances</t>
    <phoneticPr fontId="51" type="noConversion"/>
  </si>
  <si>
    <t>Total assets</t>
    <phoneticPr fontId="51" type="noConversion"/>
  </si>
  <si>
    <t>Total liabilities</t>
    <phoneticPr fontId="51" type="noConversion"/>
  </si>
  <si>
    <t>GRANTS PLEDGED 2013</t>
    <phoneticPr fontId="41" type="noConversion"/>
  </si>
  <si>
    <t>TOTAL EXPENSES</t>
    <phoneticPr fontId="41" type="noConversion"/>
  </si>
  <si>
    <t>House fund - FP May. 2013</t>
  </si>
  <si>
    <t>HC, GD go to Nanjing &amp; Back to Beijing - HNC</t>
  </si>
  <si>
    <t>Express fee UPS</t>
  </si>
  <si>
    <t>UPS BEIJING</t>
  </si>
  <si>
    <t>Taxi - HC go to airport</t>
  </si>
  <si>
    <t>TAXI NANJING</t>
  </si>
  <si>
    <t>HC &amp; GD meeting at Nanjing - Hotel - HNC</t>
  </si>
  <si>
    <t>LOCAL MARKET VENDOR NANJING</t>
  </si>
  <si>
    <t>George Nanjing back to Beijing - Train ticket - HNC</t>
  </si>
  <si>
    <t>HC meeting with tech team at Hainan - Food</t>
  </si>
  <si>
    <t>HC meeting with tech team at Hainan - Hotel</t>
  </si>
  <si>
    <t>Holly Chang Salary Aug 2013</t>
  </si>
  <si>
    <t>Linked in hiring fee</t>
  </si>
  <si>
    <t>LINKED IN.COM</t>
  </si>
  <si>
    <t>0901 event food</t>
  </si>
  <si>
    <t>WU MART BEIJING</t>
  </si>
  <si>
    <t>0901 event wines</t>
  </si>
  <si>
    <t>Taxi - HC&amp;GD Nanjing back to Beijing - HNC</t>
  </si>
  <si>
    <t>Faye Pu Salary Mar.2013</t>
  </si>
  <si>
    <t>TAXI NYC</t>
  </si>
  <si>
    <t>HC lunch in NYC</t>
  </si>
  <si>
    <t>KFC/TACO BELL</t>
  </si>
  <si>
    <t>HC Bus to Alyssa's house from NYC</t>
  </si>
  <si>
    <t>DECAMP BUS LINES</t>
  </si>
  <si>
    <t>HC，Alyssa dinner in NYC</t>
  </si>
  <si>
    <t>Taxi - from lunch with MeiAnn to National Committee on US-China Relations in NYC</t>
  </si>
  <si>
    <t>HC，AF lunch with MeiAnn（Board member）in NYC</t>
  </si>
  <si>
    <t>THAI MARKET</t>
  </si>
  <si>
    <t>Social Insurance medical - HC, MZ, FP Jan. 2013</t>
  </si>
  <si>
    <t>Holly Chang Salary Jan. 2013</t>
  </si>
  <si>
    <t>Faye Pu Salary Jan. 2013</t>
  </si>
  <si>
    <t>Express fee</t>
  </si>
  <si>
    <t>Taxi - HC Barcamp speaker dinner</t>
  </si>
  <si>
    <t>Car - MZ TL go to HR company, Yanglaoshi, I&amp;C bureau, National tax bureau</t>
  </si>
  <si>
    <t>File management fee - HR company</t>
  </si>
  <si>
    <t>HR COMPANY</t>
  </si>
  <si>
    <t>STARBUCKS NEW YORK</t>
  </si>
  <si>
    <t>HC dinner &amp; food @ NY</t>
  </si>
  <si>
    <t>LOCAL MARKET VENDOR NEW YORK</t>
  </si>
  <si>
    <t>HC subway at New York</t>
  </si>
  <si>
    <t>DISTRICT COMMONS &amp; BTS</t>
  </si>
  <si>
    <t>Subway card NYC</t>
  </si>
  <si>
    <t>MTA NYU</t>
  </si>
  <si>
    <t>Train from Washington DC to NYC</t>
  </si>
  <si>
    <t>FUNDS LEFT</t>
    <phoneticPr fontId="41" type="noConversion"/>
  </si>
  <si>
    <t>CURRENT</t>
    <phoneticPr fontId="41" type="noConversion"/>
  </si>
  <si>
    <t>Macy Ma Salary Mar.2013</t>
  </si>
  <si>
    <t>Bank Fee - Bank of China</t>
  </si>
  <si>
    <t>BANK OF CHINA BEIJING</t>
  </si>
  <si>
    <t>SF office rent Apr. 2013</t>
  </si>
  <si>
    <t>Taxi - HC office to airport</t>
  </si>
  <si>
    <t>HC - fflight to NY &amp; back Beijing ticket</t>
  </si>
  <si>
    <t>UNITED AIRLINES USA</t>
  </si>
  <si>
    <t>(exchange rates)</t>
    <phoneticPr fontId="51" type="noConversion"/>
  </si>
  <si>
    <t>% of  Grant Funds Received to date</t>
    <phoneticPr fontId="41" type="noConversion"/>
  </si>
  <si>
    <t>%</t>
    <phoneticPr fontId="41" type="noConversion"/>
  </si>
  <si>
    <t>car rental in SF</t>
  </si>
  <si>
    <t>RENT A WRECK</t>
  </si>
  <si>
    <t>Public transportation NYC</t>
  </si>
  <si>
    <t>MTA NYC</t>
  </si>
  <si>
    <t>HC train ticket BOS - NYC</t>
  </si>
  <si>
    <t>AMTRAK</t>
  </si>
  <si>
    <t>Taxi - HC at Boston Marshall, Genz, Train Station</t>
  </si>
  <si>
    <t>TAXI BOSTON</t>
  </si>
  <si>
    <t>HNC Shanghai Event Raffle prize</t>
  </si>
  <si>
    <t>APPLE STORE BOSTON</t>
  </si>
  <si>
    <t>HC Flight to Shanghai back to SF from Beijing</t>
  </si>
  <si>
    <t>Taxi - HC NYC from train station</t>
  </si>
  <si>
    <t>HNC event schwag - file holder * 200</t>
  </si>
  <si>
    <t>Taxi - HC to airport</t>
  </si>
  <si>
    <t>GRANTS RECEIVED TO DATE</t>
    <phoneticPr fontId="41" type="noConversion"/>
  </si>
  <si>
    <t>Revenue</t>
    <phoneticPr fontId="51" type="noConversion"/>
  </si>
  <si>
    <t>Contributions and grants</t>
    <phoneticPr fontId="51" type="noConversion"/>
  </si>
  <si>
    <t>Program service revenue</t>
    <phoneticPr fontId="51" type="noConversion"/>
  </si>
  <si>
    <t>Investment Income</t>
    <phoneticPr fontId="51" type="noConversion"/>
  </si>
  <si>
    <t>Other Revenue</t>
    <phoneticPr fontId="51" type="noConversion"/>
  </si>
  <si>
    <t>BOCATA BEIJING</t>
  </si>
  <si>
    <t>Taxi - HC Yale Event</t>
  </si>
  <si>
    <t>Social Insurance medical - HC, MZ, FP Feb. 2013</t>
  </si>
  <si>
    <t>Taxi - HC go to Shanghai - train station</t>
  </si>
  <si>
    <t>Taxi - HC meet with Rober Brown &amp; Nicholas Chen at Shanghai</t>
  </si>
  <si>
    <t>TAXI SHANGHAI</t>
  </si>
  <si>
    <t>HC train ticket Beijing - Shanghai</t>
  </si>
  <si>
    <t>landline fare 64027671 Feb. 2013</t>
  </si>
  <si>
    <t>2013 Aug.</t>
    <phoneticPr fontId="51" type="noConversion"/>
  </si>
  <si>
    <t>2013 Sept.</t>
    <phoneticPr fontId="51" type="noConversion"/>
  </si>
  <si>
    <t>2013 Oct.</t>
    <phoneticPr fontId="51" type="noConversion"/>
  </si>
  <si>
    <t>`</t>
    <phoneticPr fontId="51" type="noConversion"/>
  </si>
  <si>
    <t>Holly Chang Salary Apr. 2013</t>
  </si>
  <si>
    <t>CASH AT END OF PERIOD</t>
    <phoneticPr fontId="41" type="noConversion"/>
  </si>
  <si>
    <t>2013 Jan.</t>
    <phoneticPr fontId="41" type="noConversion"/>
  </si>
  <si>
    <t>2013 Feb.</t>
    <phoneticPr fontId="41" type="noConversion"/>
  </si>
  <si>
    <t>2013 Mar.</t>
    <phoneticPr fontId="41" type="noConversion"/>
  </si>
  <si>
    <t>2013 Apr.</t>
    <phoneticPr fontId="41" type="noConversion"/>
  </si>
  <si>
    <t>2013 May.</t>
    <phoneticPr fontId="41" type="noConversion"/>
  </si>
  <si>
    <t>2013 Jun.</t>
    <phoneticPr fontId="41" type="noConversion"/>
  </si>
  <si>
    <t>Increase in Accounts Payable during period</t>
    <phoneticPr fontId="51" type="noConversion"/>
  </si>
  <si>
    <t>CASH IN / DONATIONS &amp; REVENUE</t>
    <phoneticPr fontId="41" type="noConversion"/>
  </si>
  <si>
    <t>Expenses</t>
    <phoneticPr fontId="51" type="noConversion"/>
  </si>
  <si>
    <t>Grants and similar amounts paid</t>
    <phoneticPr fontId="51" type="noConversion"/>
  </si>
  <si>
    <t>Benefits paid to or for members</t>
    <phoneticPr fontId="51" type="noConversion"/>
  </si>
  <si>
    <t>Salaries, other compensation, employee benefits</t>
    <phoneticPr fontId="51" type="noConversion"/>
  </si>
  <si>
    <t>16a</t>
    <phoneticPr fontId="51" type="noConversion"/>
  </si>
  <si>
    <t>Office supplies - soap &amp; toilet paper</t>
  </si>
  <si>
    <t>LIANE PEI US</t>
    <phoneticPr fontId="51" type="noConversion"/>
  </si>
  <si>
    <t>Car - MZ go to I&amp;C Bureau</t>
  </si>
  <si>
    <t>Disabled Insurance Fund</t>
  </si>
  <si>
    <t>Social Insurance medical - HC, MZ, FP Aug. 2013</t>
  </si>
  <si>
    <t>Stuart Haikou to Shanghai train ticket - HNC Shanghai event</t>
  </si>
  <si>
    <t>Taxi - Stuart train station to hotel - HNC Shanghai event</t>
  </si>
  <si>
    <t>HNC Beijing Alumnus train ticket Beijing - Shanghai - Beijing - Liang Lei - HNC Shanghai Event</t>
  </si>
  <si>
    <t>Alyssa &amp; George train ticket Beijing to Shanghai - HNC Shanghai Event</t>
  </si>
  <si>
    <t>MZ, Alyssa &amp; George train ticket - Shanghai to Beijing - HNC Shanghai Event</t>
  </si>
  <si>
    <t>Express fee - HNC Shanghai Event - Shanghaito Beijing</t>
  </si>
  <si>
    <t>HNC Shanghai event team meeting - Starbucks</t>
  </si>
  <si>
    <t>STARBUCKS SHANGHAI</t>
  </si>
  <si>
    <t>WU WEIQI HAINAN</t>
  </si>
  <si>
    <t>House Rent 2013.09 - 2013.11</t>
  </si>
  <si>
    <t>Mingzhe Yang consulting fee Aug. 2013</t>
  </si>
  <si>
    <t>Car - Everbright bank - Office - Yanglaoshi （30km）</t>
  </si>
  <si>
    <t>Mingzhe Yang Salary Aug. 2013</t>
  </si>
  <si>
    <t>Faye Pu Salary Aug. 2013</t>
  </si>
  <si>
    <t>Travel Insurance to US - HC</t>
  </si>
  <si>
    <t>TRAVEL INSURANCE POLIC</t>
  </si>
  <si>
    <t>HNC event schwag - pin * 200</t>
  </si>
  <si>
    <t>Tote bag * 1  - Prize - HNC</t>
  </si>
  <si>
    <t>Water bottle * 200 + Express fee</t>
  </si>
  <si>
    <t>HC flight PRC- SFO - EWR - PEK</t>
  </si>
  <si>
    <t>Office supplies - coffee * 4</t>
  </si>
  <si>
    <t>Social Insurance - HC, FP, MZ Aug. 2013</t>
  </si>
  <si>
    <t>EB Bank</t>
    <phoneticPr fontId="51" type="noConversion"/>
  </si>
  <si>
    <t>Pengyouday.org &amp; related - Godaddy.com</t>
  </si>
  <si>
    <t>HNC tote bag * 2</t>
  </si>
  <si>
    <t>Taxi - Holly go to Shanghai - HNC event</t>
  </si>
  <si>
    <t>Holly go to Shanghai - HNC event - MEAL</t>
  </si>
  <si>
    <t>Payroll Tax - HC, FP, MZ Mar.2013</t>
  </si>
  <si>
    <t>85 Broads tech event</t>
  </si>
  <si>
    <t>2013 TO DATE</t>
    <phoneticPr fontId="41" type="noConversion"/>
  </si>
  <si>
    <t>ADJUSTMENTS</t>
    <phoneticPr fontId="51" type="noConversion"/>
  </si>
  <si>
    <t>Accounts Payable at Beginning of Period</t>
    <phoneticPr fontId="51" type="noConversion"/>
  </si>
  <si>
    <t>Accounts Payable at End of Period</t>
    <phoneticPr fontId="51" type="noConversion"/>
  </si>
  <si>
    <t>United flight to Washington DC &amp; change to Washington DC</t>
  </si>
  <si>
    <t>Phone in USA</t>
  </si>
  <si>
    <t>T - MOBILE</t>
  </si>
  <si>
    <t>Skype (Internet phone)</t>
  </si>
  <si>
    <t>California Justice Dept. (Company Registration)</t>
  </si>
  <si>
    <t>Subway card - DC</t>
  </si>
  <si>
    <t>Faye Pu consulting fee Mar.2013</t>
  </si>
  <si>
    <t>Mingzhe Yang Salary Mar.2013</t>
  </si>
  <si>
    <t>Mingzhe Yang consulting fee Mar.2013</t>
  </si>
  <si>
    <t>FEDEX</t>
  </si>
  <si>
    <t>HC, Flight to Boston</t>
  </si>
  <si>
    <t>HC, Flight to KY</t>
  </si>
  <si>
    <t>Gas for car in SF</t>
  </si>
  <si>
    <t>CHEVRON</t>
  </si>
  <si>
    <t>CLIPPER SERVICE</t>
  </si>
  <si>
    <t>car rental insurance in SF</t>
  </si>
  <si>
    <t>HC lunch w John Romankiewicz about ambassador program</t>
  </si>
  <si>
    <t>GATHER LLC BERKELEY</t>
  </si>
  <si>
    <t>HC - supershuttle to Airport SF</t>
  </si>
  <si>
    <t>car rental in Kentucky</t>
  </si>
  <si>
    <t>ALAMO RENT-A-CAR USA</t>
  </si>
  <si>
    <t>Payroll tax - HC MZ Sept. 2013</t>
  </si>
  <si>
    <t>HNC Beijing event - catering - Pinotage</t>
  </si>
  <si>
    <t>HNC Shanghai event - Glamour Bar</t>
  </si>
  <si>
    <t>GLAMOUR BAR SHANGHAI</t>
  </si>
  <si>
    <t>Taxi - HC to airport and finger print and Chengdu</t>
  </si>
  <si>
    <t>House fund - FP Oct. 2013</t>
  </si>
  <si>
    <t>House fund - MZ Oct. 2013</t>
  </si>
  <si>
    <t>HC Rotary conference hotel</t>
  </si>
  <si>
    <t>HOLIDAY INN CROWN PLAZ CHENGDU</t>
  </si>
  <si>
    <t>Holly Z visa printing and photo</t>
  </si>
  <si>
    <t>POLICE STATION BEIJING</t>
  </si>
  <si>
    <t>Taxi - Holly apply Z visa</t>
  </si>
  <si>
    <t>HNC Shanghai event - Yilabao * 7</t>
  </si>
  <si>
    <t>LOCAL MARKET VENDOR SHANGHAI</t>
  </si>
  <si>
    <t>HNC schwag - stickers *200</t>
  </si>
  <si>
    <t>HNC Shanghai event tote bag *8 Guest</t>
  </si>
  <si>
    <t>Express fee - tote bag - Beijing to Shanghai - HNC event</t>
  </si>
  <si>
    <t>0924 event - soft drinks</t>
  </si>
  <si>
    <t>0924 event food</t>
  </si>
  <si>
    <t>0924 event - printing</t>
  </si>
  <si>
    <t>0924 evnet - food and wines</t>
  </si>
  <si>
    <t>Express fee - HNC water bottle Beijing - Shanghai</t>
  </si>
  <si>
    <t>SF Express</t>
  </si>
  <si>
    <t>HNC Shanghai event Printing program * 200 &amp; Yilabao</t>
  </si>
  <si>
    <t>HNC Shanghai event supplies - tape, nametag</t>
  </si>
  <si>
    <t>namecard printing</t>
  </si>
  <si>
    <t>MZ Beijing to Shanghai train ticket - HNC Shanghai event</t>
  </si>
  <si>
    <t>Alyssa &amp; George Lunch at Shanghai - HNC Shanghai Event</t>
  </si>
  <si>
    <t>Taxi - Alyssa go to train station - HNC Shanghai Event</t>
  </si>
  <si>
    <t>Hainan Supplies - Computer &amp; A/C</t>
  </si>
  <si>
    <t>BOC FP</t>
    <phoneticPr fontId="51" type="noConversion"/>
  </si>
  <si>
    <t>Payroll tax - HC, FP, MZ Jul. 2013</t>
  </si>
  <si>
    <t>Taxi - 0802 Intern farewell event - purchasing</t>
  </si>
  <si>
    <t>0802 Intern farewell event - food</t>
  </si>
  <si>
    <t>Social Insurance medical - HC, MZ, FP Jul. 2013</t>
  </si>
  <si>
    <t>Social Insurance - HC, FP, MZ Jul. 2013</t>
  </si>
  <si>
    <t>HNC tote bag * 200</t>
  </si>
  <si>
    <t>HC go to Shanghai flight ticket</t>
  </si>
  <si>
    <t>House fund - FP Aug. 2013</t>
  </si>
  <si>
    <t>House fund - MZ Aug. 2013</t>
  </si>
  <si>
    <t>Bank fee BOA</t>
  </si>
  <si>
    <t>Printing - HNC Shanghai Event</t>
  </si>
  <si>
    <t>Holly go to Shanghai HNC event meal</t>
  </si>
  <si>
    <t>Taxi - Holly go to Shanghai HNC event</t>
  </si>
  <si>
    <t>Taxi - Alyssa train station to home - HNC Shanghai event</t>
  </si>
  <si>
    <t>Taxi - MZ train station to Home - HNC Shanghai event</t>
  </si>
  <si>
    <t>Taxi - MZ, Alyssa &amp; George go to train station - HNC Shanghai event</t>
  </si>
  <si>
    <t>Alyssa, George &amp; MZ subway at Shanghai - HNC Shanghai event</t>
  </si>
  <si>
    <t>SUBWAY SHANGHAI</t>
  </si>
  <si>
    <t>Alyssa, George &amp; MZ dinner at train - HNC Shanghai event</t>
  </si>
  <si>
    <t>1103 event yilabao</t>
  </si>
  <si>
    <t>water bill Jun. - Oct. 2013</t>
  </si>
  <si>
    <t>Macy Ma social insurance</t>
  </si>
  <si>
    <t>Social Insurance - HC, FP, MZ Oct. 2013</t>
  </si>
  <si>
    <t>Taxi - HC meeting with Lin Feng</t>
  </si>
  <si>
    <t>CFCA certification service</t>
  </si>
  <si>
    <t>TAX BUREAU BEIJING</t>
  </si>
  <si>
    <t>Stamp tax</t>
  </si>
  <si>
    <t>House fund - MZ Nov. 2013</t>
  </si>
  <si>
    <t>House fund - FP Nov. 2013</t>
  </si>
  <si>
    <t>Taxi - HC CUSP meeting</t>
  </si>
  <si>
    <t>HC flight ticket Beijing to DC</t>
  </si>
  <si>
    <t>Alyssa's visa extension 30days</t>
  </si>
  <si>
    <t>Payroll tax - HC, FP, MZ Oct. 2013</t>
  </si>
  <si>
    <t>CASH11000</t>
    <phoneticPr fontId="51" type="noConversion"/>
  </si>
  <si>
    <t>Mingzhe Yang consulting fee - Sept. 2013</t>
  </si>
  <si>
    <t>Taxi - Alyssa go to office - HNC Shanghai event</t>
  </si>
  <si>
    <t>Holly Chang Salary Sept. 2013</t>
  </si>
  <si>
    <t>Mingzhe Yang Salary Sept. 2013</t>
  </si>
  <si>
    <t>HC bus to Washington DC</t>
  </si>
  <si>
    <t>EASTERN COACH INC</t>
  </si>
  <si>
    <t>skype call</t>
  </si>
  <si>
    <t>Social Insurance medical - HC, MZ, FP Sept. 2013</t>
  </si>
  <si>
    <t>Social Insurance - HC, FP, MZ Sept. 2013</t>
  </si>
  <si>
    <t>CMB</t>
  </si>
  <si>
    <t>SF Office rent (2 months)</t>
  </si>
  <si>
    <t>Alyssa Visa fee + prin0.5ting</t>
  </si>
  <si>
    <t>CHINA GOV</t>
  </si>
  <si>
    <t>Social Insurance Medical Supplementary 4-5</t>
  </si>
  <si>
    <t>Social Insurance Supplementary 4-5</t>
  </si>
  <si>
    <t>HC - supershuttle from Airport SF</t>
  </si>
  <si>
    <t>SUPERSHUTTLE EXECUCARS</t>
  </si>
  <si>
    <t>Payroll tax - HC, FP, MZ Aug. 2013</t>
  </si>
  <si>
    <t>House fund - MZ Sept. 2013</t>
  </si>
  <si>
    <t>House fund - FP Sept. 2013</t>
  </si>
  <si>
    <t>Develop fee  for Nio - Griffin</t>
  </si>
  <si>
    <t>HC - public transportation - SF</t>
  </si>
  <si>
    <t>Taxi - HC meeting with Marshall Ganz and Helen</t>
  </si>
  <si>
    <t>Office landline fare</t>
  </si>
  <si>
    <t>HNC Beijing event tote bag * 3</t>
  </si>
  <si>
    <t>Ipod Nano Beijing HNC Event</t>
  </si>
  <si>
    <t>APPLE STORE BEIJING</t>
  </si>
  <si>
    <t>Holly cellphone fare</t>
  </si>
  <si>
    <t>Stuart train ticket Hankou - Beijing</t>
  </si>
  <si>
    <t>HNC Beijing event - printing</t>
  </si>
  <si>
    <t>Tommy Li - train ticket - Shanghai to Beijing to Shanghai - Beijing HNC EVEnt</t>
  </si>
  <si>
    <t>Taxi - Tommy Li - HNC Beijing event</t>
  </si>
  <si>
    <t>Tommy Li - HNC Beijing event - Lunch</t>
  </si>
  <si>
    <t>Tommy Li - HNC Beijing event - SWISSHOTEL</t>
  </si>
  <si>
    <t>SWISSHOTEL BEIJING</t>
  </si>
  <si>
    <t>Taxi - Beijing HNC event purchasing</t>
  </si>
  <si>
    <t>Printing - Beijing HNC event - program + Yilabao</t>
  </si>
  <si>
    <t>SHORT-TERM LIABILITIES</t>
    <phoneticPr fontId="51" type="noConversion"/>
  </si>
  <si>
    <t>ACCOUNTS RECEIVABLE</t>
    <phoneticPr fontId="51" type="noConversion"/>
  </si>
  <si>
    <t>(future expenses)</t>
    <phoneticPr fontId="51" type="noConversion"/>
  </si>
  <si>
    <t>HR company service  fee</t>
  </si>
  <si>
    <t>Taxi - HC back Beijing From US</t>
  </si>
  <si>
    <t>HC, AF finger print for Z visa</t>
  </si>
  <si>
    <t>Faye Pu salary Nov. 2013</t>
  </si>
  <si>
    <t>Mingzhe Yang salary Nov. 2013</t>
  </si>
  <si>
    <t>Holly Chang salary Nov. 2013</t>
  </si>
  <si>
    <t>HC PAID</t>
    <phoneticPr fontId="82" type="noConversion"/>
  </si>
  <si>
    <t>2013 Nov.</t>
    <phoneticPr fontId="41" type="noConversion"/>
  </si>
  <si>
    <t>Holly Chang salary Oct. 2013</t>
  </si>
  <si>
    <t>Social Insurance medical - HC, MZ, FP Oct. 2013</t>
  </si>
  <si>
    <t>Faye Pu consulting fee Oct. 2013</t>
  </si>
  <si>
    <t>Mingzhe Yang consulting fee Oct. 2013</t>
  </si>
  <si>
    <t>Faye Pu salary Oct. 2013</t>
  </si>
  <si>
    <t>Mingzhe Yang salary Oct. 2013</t>
  </si>
  <si>
    <t>Stuart raise part salary half year</t>
  </si>
  <si>
    <t>BOA</t>
    <phoneticPr fontId="51" type="noConversion"/>
  </si>
  <si>
    <t>2013 Aug.</t>
    <phoneticPr fontId="41" type="noConversion"/>
  </si>
  <si>
    <t>2013 Sept.</t>
    <phoneticPr fontId="41" type="noConversion"/>
  </si>
  <si>
    <t>2013 Oct.</t>
    <phoneticPr fontId="41" type="noConversion"/>
  </si>
  <si>
    <t>Aug 2013 Net Equity</t>
    <phoneticPr fontId="41" type="noConversion"/>
  </si>
  <si>
    <t>Sept 2013 Net Equity</t>
    <phoneticPr fontId="41" type="noConversion"/>
  </si>
  <si>
    <t>Oct 2013 Net Equity</t>
    <phoneticPr fontId="41" type="noConversion"/>
  </si>
  <si>
    <t>HNC Shanghai event nametag * 100</t>
  </si>
  <si>
    <t>Taxi - MZ go to Train station - HNC Shanghai event</t>
  </si>
  <si>
    <t>Taxi - MZ - Train station to Hotel @Shanghai - HNC event</t>
  </si>
  <si>
    <t>2013 Nov.</t>
    <phoneticPr fontId="51" type="noConversion"/>
  </si>
  <si>
    <t>Nov 2013 Net Equity</t>
    <phoneticPr fontId="41" type="noConversion"/>
  </si>
  <si>
    <t>CHANGE IN BALANCE</t>
    <phoneticPr fontId="51" type="noConversion"/>
  </si>
  <si>
    <t>Cash at End (Cashflow) = Total Assets (Balance)</t>
    <phoneticPr fontId="51" type="noConversion"/>
  </si>
  <si>
    <t>Balance Statement Total Assets = Total Liabilities</t>
    <phoneticPr fontId="51" type="noConversion"/>
  </si>
  <si>
    <t>Cash Out = Total Expenses</t>
    <phoneticPr fontId="51" type="noConversion"/>
  </si>
  <si>
    <t>Cash In = Total Revenue</t>
    <phoneticPr fontId="51" type="noConversion"/>
  </si>
  <si>
    <t>JANUARY</t>
    <phoneticPr fontId="41" type="noConversion"/>
  </si>
  <si>
    <t>FEBRUARY</t>
    <phoneticPr fontId="41" type="noConversion"/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</si>
  <si>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</si>
  <si>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</si>
  <si>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</si>
  <si>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</si>
  <si>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</si>
  <si>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</si>
  <si>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</si>
  <si>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</si>
  <si>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</si>
  <si>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</si>
  <si>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Revenue</t>
    <phoneticPr fontId="51" type="noConversion"/>
  </si>
  <si>
    <t>Total expenses</t>
    <phoneticPr fontId="51" type="noConversion"/>
  </si>
  <si>
    <t>2013 Bank Balances</t>
    <phoneticPr fontId="41" type="noConversion"/>
  </si>
  <si>
    <t>Equity Statement</t>
    <phoneticPr fontId="41" type="noConversion"/>
  </si>
  <si>
    <t>Cash In</t>
    <phoneticPr fontId="78" type="noConversion"/>
  </si>
  <si>
    <t>Transfer In</t>
    <phoneticPr fontId="78" type="noConversion"/>
  </si>
  <si>
    <t>Cash Out</t>
    <phoneticPr fontId="78" type="noConversion"/>
  </si>
  <si>
    <t>Transfer Out</t>
    <phoneticPr fontId="78" type="noConversion"/>
  </si>
  <si>
    <t>China Everbright Bank</t>
  </si>
  <si>
    <t>Bank of America</t>
  </si>
  <si>
    <t>Total:</t>
  </si>
  <si>
    <t>Cash In</t>
    <phoneticPr fontId="78" type="noConversion"/>
  </si>
  <si>
    <t>Transfer In</t>
    <phoneticPr fontId="78" type="noConversion"/>
  </si>
  <si>
    <t>Cash Out</t>
    <phoneticPr fontId="78" type="noConversion"/>
  </si>
  <si>
    <t>Transfer Out</t>
    <phoneticPr fontId="78" type="noConversion"/>
  </si>
  <si>
    <t>Balance at End</t>
    <phoneticPr fontId="51" type="noConversion"/>
  </si>
  <si>
    <t>Bank of China-FP</t>
    <phoneticPr fontId="51" type="noConversion"/>
  </si>
  <si>
    <t>Bank of China-HC</t>
    <phoneticPr fontId="51" type="noConversion"/>
  </si>
  <si>
    <t>Bank fee BOC FP</t>
  </si>
  <si>
    <t>HR company fee</t>
  </si>
  <si>
    <t>Bank fee</t>
  </si>
  <si>
    <t>1103 event soft drink</t>
  </si>
  <si>
    <t>HC flight ticket From DC to boston</t>
  </si>
  <si>
    <t>US AIRWAYS USA</t>
  </si>
  <si>
    <t>HC BOC card fee</t>
  </si>
  <si>
    <t>HC hotel in DC</t>
  </si>
  <si>
    <t>AVENUE SUITES DC</t>
  </si>
  <si>
    <t>cleaning fee</t>
  </si>
  <si>
    <t>HC hotel near Harvard</t>
  </si>
  <si>
    <t>SHERATON COMMANDER HOTEL BOS</t>
  </si>
  <si>
    <t>Taxi - HC airport to hotel</t>
  </si>
  <si>
    <t>Taxi - HC depart for IAD</t>
  </si>
  <si>
    <t>New door lock</t>
  </si>
  <si>
    <t>HC DC to Boston - Luggage</t>
  </si>
  <si>
    <t>HC public transportation in Boston</t>
  </si>
  <si>
    <t>MBTA BOS</t>
  </si>
  <si>
    <t>Entry - Exit Insepction and Quarantine - Alyssa</t>
  </si>
  <si>
    <t>ENTRY - EXIT INSEPCTION BUREAU</t>
  </si>
  <si>
    <t>Taxi - Alyssa medical ex for Z visa</t>
  </si>
  <si>
    <t>HC meeting with Helen and Stephanie</t>
  </si>
  <si>
    <t>LOCAL MARKET VENDOR BOSTON</t>
  </si>
  <si>
    <t>DIFFERENCE</t>
  </si>
  <si>
    <r>
      <t>3876</t>
    </r>
    <r>
      <rPr>
        <sz val="9"/>
        <color indexed="8"/>
        <rFont val="Arial"/>
        <family val="2"/>
      </rPr>
      <t>a</t>
    </r>
  </si>
  <si>
    <r>
      <t>3876</t>
    </r>
    <r>
      <rPr>
        <sz val="9"/>
        <color indexed="8"/>
        <rFont val="Arial"/>
        <family val="2"/>
      </rPr>
      <t>b</t>
    </r>
  </si>
  <si>
    <t>01 - GRANTS TO GOVERNMENT ORGANIZATIONS IN US</t>
  </si>
  <si>
    <t>02 - GRANTS TO INDIVIDUALS IN US</t>
  </si>
  <si>
    <t>03 - GRANTS TO GOVERNMENT, ORGS AND INDIVIDUALS OUTSIDE US</t>
  </si>
  <si>
    <t>04 - MEMBER BENEFITS</t>
  </si>
  <si>
    <t>06 - COMPENSATION TO DISQUALIFIED PERSONS</t>
  </si>
  <si>
    <t>08 - PENSION PLAN CONTRIBUTIONS</t>
  </si>
  <si>
    <t>15 - ROYALTIES</t>
  </si>
  <si>
    <t>18 - TRAVEL OR ENTERTAINMENT FOR PUBLIC OFFICIALS</t>
  </si>
  <si>
    <t>20 - INTEREST</t>
  </si>
  <si>
    <t>22 - DEPRECIATION, DEPLETION AND AMORTIZATION</t>
  </si>
  <si>
    <t>990 Line - INCOME / EXPENSE TYPE</t>
  </si>
  <si>
    <t>GRANT</t>
  </si>
  <si>
    <t>FUNCTIONAL EXPENSE TYPES</t>
  </si>
  <si>
    <t>INCOME TYPES</t>
  </si>
  <si>
    <t>12 - US - CHINA GRASSROOTS</t>
  </si>
  <si>
    <t>14 - CMB PHILANTHROPY FOR HEALTH</t>
  </si>
  <si>
    <t>01 - FINANCE &amp; ACCOUNTING</t>
  </si>
  <si>
    <t>PROGRAM GRANTS</t>
  </si>
  <si>
    <t>0409 Carola Event entrance fee</t>
  </si>
  <si>
    <t>0705 BBQ Event entrance fee</t>
  </si>
  <si>
    <t>0724 Event entrance fee</t>
  </si>
  <si>
    <t>0924 Kaiser Event entrance fee</t>
  </si>
  <si>
    <t>1103 Henry Event entrance fee</t>
  </si>
  <si>
    <t>1210 FSO Event entrance fee</t>
  </si>
  <si>
    <t>Donation of HC salary</t>
  </si>
  <si>
    <t>Amazon Affiliates Program</t>
  </si>
  <si>
    <t>24a - OTHER: GOVERNMENT-RELATED FEES</t>
  </si>
  <si>
    <t>24b - OTHER: MEALS &amp; ENTERTAINMENT</t>
  </si>
  <si>
    <t>24c - OTHER: PROGRAM-RELATED SUPPLIES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</si>
  <si>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</si>
  <si>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</si>
  <si>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</si>
  <si>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</si>
  <si>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</si>
  <si>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</si>
  <si>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</si>
  <si>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</si>
  <si>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</si>
  <si>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</si>
  <si>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</si>
  <si>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2013 (Jan - Dec) Net Equity</t>
  </si>
  <si>
    <t>NEW PETERHOF</t>
  </si>
  <si>
    <t>UNALLOCATED SUPPORT EXPENSES</t>
  </si>
  <si>
    <t>BUDGET</t>
  </si>
  <si>
    <t>ACTUAL</t>
  </si>
  <si>
    <t>Diff %</t>
  </si>
  <si>
    <t>Left in grant:</t>
  </si>
  <si>
    <t>2a</t>
  </si>
  <si>
    <t>2b</t>
  </si>
  <si>
    <t>Monthly Balance Statement</t>
  </si>
  <si>
    <t>Monthly Functional Expenses</t>
  </si>
  <si>
    <t xml:space="preserve">Profit &amp; Loss Report Detailed by Program </t>
  </si>
  <si>
    <t>GB CHUANGSI</t>
  </si>
  <si>
    <t>GB FOUNDATION</t>
  </si>
  <si>
    <t>Jan. 2014</t>
  </si>
  <si>
    <t>Revenue Types</t>
  </si>
  <si>
    <t>wash</t>
  </si>
  <si>
    <t>China bank interest</t>
  </si>
  <si>
    <t>Monthly Revenue (autom. calculations)</t>
  </si>
  <si>
    <t>Alyssa Farrelly monthly pay Apr. 2013</t>
  </si>
  <si>
    <t>Alyssa Farrelly monthly pay Aug. 2013</t>
  </si>
  <si>
    <t>Alyssa Farrelly monthly pay Dec.2013</t>
  </si>
  <si>
    <t>Alyssa Farrelly monthly pay Feb. 2013</t>
  </si>
  <si>
    <t>Alyssa Farrelly monthly pay Jan. 2013</t>
  </si>
  <si>
    <t>Alyssa Farrelly monthly pay July 2013</t>
  </si>
  <si>
    <t>Alyssa Farrelly monthly pay Jun. 2013</t>
  </si>
  <si>
    <t>Alyssa Farrelly monthly pay Mar.2013</t>
  </si>
  <si>
    <t>Alyssa Farrelly monthly pay May. 2013</t>
  </si>
  <si>
    <t>Alyssa Farrelly monthly pay Nov.2013</t>
  </si>
  <si>
    <t>Alyssa Farrelly monthly pay Oct. 2013</t>
  </si>
  <si>
    <t>Alyssa Farrelly monthly pay Sept. 2013</t>
  </si>
  <si>
    <t>George Ding monthly pay Apr. 2013</t>
  </si>
  <si>
    <t>George Ding monthly pay Dec.2013 + Bonus</t>
  </si>
  <si>
    <t>George Ding monthly pay Feb. 2013</t>
  </si>
  <si>
    <t>George Ding monthly pay Jan. 2013</t>
  </si>
  <si>
    <t>George Ding monthly pay Jul. 2013</t>
  </si>
  <si>
    <t>George Ding monthly pay Jun. 2013</t>
  </si>
  <si>
    <t>George Ding monthly pay Mar.2013</t>
  </si>
  <si>
    <t>George Ding monthly pay May. 2013</t>
  </si>
  <si>
    <t>George Ding monthly pay Nov.2013</t>
  </si>
  <si>
    <t>George Ding monthly pay Oct. 2013</t>
  </si>
  <si>
    <t>George Ding monthly pay Sept. 2013</t>
  </si>
  <si>
    <t>Helen monthly pay Nov. Dec. 2013</t>
  </si>
  <si>
    <t>Jessica Chong monthly pay Dec.2013</t>
  </si>
  <si>
    <t>Jessica Chong monthly pay Nov.2013</t>
  </si>
  <si>
    <t>Jiang Qubo monthly pay Apr. 2013</t>
  </si>
  <si>
    <t>Jiang Qubo monthly pay Aug. 2013</t>
  </si>
  <si>
    <t>Jiang Qubo monthly pay Dec.2013</t>
  </si>
  <si>
    <t>Jiang Qubo monthly pay July 2013</t>
  </si>
  <si>
    <t>Jiang Qubo monthly pay Jun. 2013</t>
  </si>
  <si>
    <t>Jiang Qubo monthly pay May. 2013</t>
  </si>
  <si>
    <t>Jiang Qubo monthly pay Nov.2013</t>
  </si>
  <si>
    <t>Jiang Qubo monthly pay Sept. 2013</t>
  </si>
  <si>
    <t>Jonathan Brown monthly pay Jan. 2013</t>
  </si>
  <si>
    <t>Jonathan Brown monthly pay Jan2013 （16 work days）</t>
  </si>
  <si>
    <t>Lu Jun monthly pay Apr. 2013</t>
  </si>
  <si>
    <t>Lu Jun monthly pay Aug. 2013</t>
  </si>
  <si>
    <t>Lu Jun monthly pay Dec.2013</t>
  </si>
  <si>
    <t>Lu Jun monthly pay July 2013</t>
  </si>
  <si>
    <t>Lu Jun monthly pay Jun. 2013</t>
  </si>
  <si>
    <t>Lu Jun monthly pay May. 2013</t>
  </si>
  <si>
    <t>Lu Jun monthly pay Nov.2013</t>
  </si>
  <si>
    <t>Lu Jun monthly pay Sept. 2013</t>
  </si>
  <si>
    <r>
      <t xml:space="preserve">Stuart </t>
    </r>
    <r>
      <rPr>
        <sz val="9"/>
        <color indexed="8"/>
        <rFont val="Arial"/>
        <family val="2"/>
      </rPr>
      <t>in</t>
    </r>
    <r>
      <rPr>
        <sz val="9"/>
        <color indexed="8"/>
        <rFont val="Arial"/>
        <family val="2"/>
      </rPr>
      <t xml:space="preserve"> Beijing subsidy 10132013 - 10282013</t>
    </r>
  </si>
  <si>
    <r>
      <t xml:space="preserve">Stuart </t>
    </r>
    <r>
      <rPr>
        <sz val="9"/>
        <color indexed="8"/>
        <rFont val="Arial"/>
        <family val="2"/>
      </rPr>
      <t>in</t>
    </r>
    <r>
      <rPr>
        <sz val="9"/>
        <color indexed="8"/>
        <rFont val="Arial"/>
        <family val="2"/>
      </rPr>
      <t xml:space="preserve"> Beijing subsidy 10292013- 10302013</t>
    </r>
  </si>
  <si>
    <r>
      <t>Stuart Wan Bon</t>
    </r>
    <r>
      <rPr>
        <sz val="9"/>
        <color indexed="8"/>
        <rFont val="Arial"/>
        <family val="2"/>
      </rPr>
      <t>u</t>
    </r>
    <r>
      <rPr>
        <sz val="9"/>
        <color indexed="8"/>
        <rFont val="Arial"/>
        <family val="2"/>
      </rPr>
      <t>s</t>
    </r>
  </si>
  <si>
    <t>Stuart Wan in Beijing subsidy 01232013 - 02022013</t>
  </si>
  <si>
    <r>
      <t>Stuart Wan in Beijing</t>
    </r>
    <r>
      <rPr>
        <sz val="9"/>
        <color indexed="8"/>
        <rFont val="Arial"/>
        <family val="2"/>
      </rPr>
      <t xml:space="preserve"> subsidy</t>
    </r>
    <r>
      <rPr>
        <sz val="9"/>
        <color indexed="8"/>
        <rFont val="Arial"/>
        <family val="2"/>
      </rPr>
      <t xml:space="preserve"> 02022013-02052013</t>
    </r>
  </si>
  <si>
    <t>Stuart Wan monthly pay Apr. 2013</t>
  </si>
  <si>
    <t>Stuart Wan monthly pay Aug. 2013</t>
  </si>
  <si>
    <t>Stuart Wan monthly pay Dec.2013</t>
  </si>
  <si>
    <t>Stuart Wan monthly pay Feb. 2013</t>
  </si>
  <si>
    <t>Stuart Wan monthly pay Jan. 2013</t>
  </si>
  <si>
    <t>Stuart Wan monthly pay July 2013</t>
  </si>
  <si>
    <t>Stuart Wan monthly pay Jun. 2013</t>
  </si>
  <si>
    <t>Stuart Wan monthly pay Mar.2013</t>
  </si>
  <si>
    <t>Stuart Wan monthly pay May. 2013</t>
  </si>
  <si>
    <t>Stuart Wan monthly pay Nov.2013</t>
  </si>
  <si>
    <t>Stuart Wan monthly pay Oct. 2013</t>
  </si>
  <si>
    <t>Stuart Wan monthly pay Sept. 2013</t>
  </si>
  <si>
    <t>Tang Long monthly pay Apr. 2013</t>
  </si>
  <si>
    <t>Tang Long monthly pay May. 2013</t>
  </si>
  <si>
    <t>Wu Weiqi monthly pay Sept. 2013</t>
  </si>
  <si>
    <t>Zhang Heng monthly pay Nov.2013</t>
  </si>
  <si>
    <t>Zhao Peng monthly pay Feb. 2013</t>
  </si>
  <si>
    <t>Zhao Peng monthly pay Jan. 2013</t>
  </si>
  <si>
    <t>Zhao Peng monthly pay Mar.2013</t>
  </si>
  <si>
    <t>Zhang Heng monthly pay Dec. 2013</t>
  </si>
  <si>
    <r>
      <t>Lic</t>
    </r>
    <r>
      <rPr>
        <sz val="9"/>
        <color indexed="8"/>
        <rFont val="Arial"/>
        <family val="2"/>
      </rPr>
      <t>en</t>
    </r>
    <r>
      <rPr>
        <sz val="9"/>
        <color indexed="8"/>
        <rFont val="Arial"/>
        <family val="2"/>
      </rPr>
      <t>s</t>
    </r>
    <r>
      <rPr>
        <sz val="9"/>
        <color indexed="8"/>
        <rFont val="Arial"/>
        <family val="2"/>
      </rPr>
      <t>e service fee</t>
    </r>
  </si>
  <si>
    <t>RESTRICTED GRANT EXPENSES</t>
  </si>
  <si>
    <t>(HNC funds+FF)</t>
  </si>
  <si>
    <t>CASH AT END - S.T. LIABILITIES</t>
  </si>
  <si>
    <t>(owed to HC)</t>
  </si>
  <si>
    <t>EXPECTED UNRESTRICTED CASH</t>
  </si>
  <si>
    <t>US-CHINA GRASSROOTS SPENT IN JAN.</t>
  </si>
  <si>
    <t>PROJECT PENGYOU SPENT IN JANUARY</t>
  </si>
  <si>
    <t>Net assets or fund balances (990 pg 1) = Total equity (Balance)</t>
  </si>
  <si>
    <t>Difference (should all be zero)</t>
  </si>
  <si>
    <t>990 Line # - EXPENSE TYPE</t>
  </si>
  <si>
    <t>% GB CHUANGSI</t>
  </si>
  <si>
    <t>GB CHUANGSI BREAKDOWN</t>
  </si>
  <si>
    <t>(January 1, 2013 - Dec 31, 2013)</t>
  </si>
  <si>
    <t xml:space="preserve">Salary &amp; Benefits Details  </t>
  </si>
  <si>
    <t>Golden Bridges Foundation Financial Reporting - Standard Naming Conventions</t>
  </si>
  <si>
    <t>Alyssa Farrelly monthly pay Jan. 2014</t>
  </si>
  <si>
    <t>George Ding monthly pay Jan. 2014</t>
  </si>
  <si>
    <t>Jiang Qubo monthly pay Jan. 2014</t>
  </si>
  <si>
    <t>Zhang Heng monthly pay Jan. 2014</t>
  </si>
  <si>
    <t>Jessica Chong monthly pay Jan. 2014</t>
  </si>
  <si>
    <t>Lu Jun monthly pay Jan. 2014</t>
  </si>
  <si>
    <t>Stuart Wan monthly pay Jan. 2014</t>
  </si>
  <si>
    <r>
      <t xml:space="preserve">10 - PROJECT PENGYOU </t>
    </r>
    <r>
      <rPr>
        <b/>
        <sz val="12"/>
        <color rgb="FF0000FF"/>
        <rFont val="Arial"/>
      </rPr>
      <t>(2/1/13 - 1/31/14)</t>
    </r>
  </si>
  <si>
    <r>
      <t xml:space="preserve">12 - US - CHINA GRASSROOTS </t>
    </r>
    <r>
      <rPr>
        <b/>
        <sz val="12"/>
        <color rgb="FF0000FF"/>
        <rFont val="Arial"/>
      </rPr>
      <t>(2/1/13 - 1/31/14)</t>
    </r>
  </si>
  <si>
    <t>CYCAN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</si>
</sst>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¥&quot;#,##0.00;&quot;¥&quot;\-#,##0.00"/>
    <numFmt numFmtId="165" formatCode="_ &quot;¥&quot;* #,##0.00_ ;_ &quot;¥&quot;* \-#,##0.00_ ;_ &quot;¥&quot;* &quot;-&quot;??_ ;_ @_ "/>
    <numFmt numFmtId="166" formatCode="\$#,##0_);[Red]\(\$#,##0\)"/>
    <numFmt numFmtId="167" formatCode="\$#,##0.00_);\(\$#,##0.00\)"/>
    <numFmt numFmtId="168" formatCode="[$￥-804]#,##0.00"/>
    <numFmt numFmtId="169" formatCode="&quot;$&quot;#,##0.00"/>
    <numFmt numFmtId="170" formatCode="0.0%"/>
    <numFmt numFmtId="171" formatCode="\$#,##0.00;\-\$#,##0.00"/>
    <numFmt numFmtId="172" formatCode="dd\/mm\/yyyy;@"/>
    <numFmt numFmtId="173" formatCode="[$-409]mmm/yy;@"/>
    <numFmt numFmtId="174" formatCode="\$#,##0;\-\$#,##0"/>
    <numFmt numFmtId="175" formatCode="0.00_);[Red]\(0.00\)"/>
    <numFmt numFmtId="176" formatCode="0.0000_);[Red]\(0.0000\)"/>
    <numFmt numFmtId="177" formatCode="0_);[Red]\(0\)"/>
    <numFmt numFmtId="178" formatCode="0.00_ "/>
    <numFmt numFmtId="179" formatCode="mmmm\ d\,\ yyyy"/>
    <numFmt numFmtId="180" formatCode="mmm\-yyyy"/>
    <numFmt numFmtId="181" formatCode="mmmm\-yyyy"/>
    <numFmt numFmtId="182" formatCode="#,##0.0000_);\(#,##0.0000\)"/>
    <numFmt numFmtId="183" formatCode="m/d/yy;@"/>
    <numFmt numFmtId="184" formatCode="mmmm"/>
    <numFmt numFmtId="185" formatCode="#,##0.0000000000000"/>
  </numFmts>
  <fonts count="103" x14ac:knownFonts="1">
    <font>
      <sz val="11"/>
      <color indexed="8"/>
      <name val="宋体"/>
      <charset val="134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0"/>
      <color indexed="8"/>
      <name val="Arial"/>
      <family val="2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2"/>
      <name val="宋体"/>
      <family val="7"/>
      <charset val="134"/>
    </font>
    <font>
      <b/>
      <sz val="11"/>
      <color indexed="8"/>
      <name val="宋体"/>
      <charset val="134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b/>
      <sz val="11"/>
      <color indexed="9"/>
      <name val="Arial"/>
      <family val="2"/>
    </font>
    <font>
      <sz val="10"/>
      <color indexed="8"/>
      <name val="宋体"/>
      <family val="3"/>
      <charset val="134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name val="Arial Unicode MS"/>
      <family val="2"/>
      <charset val="134"/>
    </font>
    <font>
      <b/>
      <sz val="11"/>
      <color indexed="9"/>
      <name val="Arial Unicode MS"/>
      <family val="2"/>
      <charset val="134"/>
    </font>
    <font>
      <sz val="9"/>
      <color indexed="8"/>
      <name val="Arial"/>
      <family val="2"/>
    </font>
    <font>
      <sz val="12"/>
      <color indexed="8"/>
      <name val="宋体"/>
      <charset val="134"/>
    </font>
    <font>
      <sz val="8"/>
      <name val="Verdana"/>
    </font>
    <font>
      <b/>
      <sz val="14"/>
      <color indexed="8"/>
      <name val="Arial"/>
    </font>
    <font>
      <b/>
      <sz val="12"/>
      <color indexed="9"/>
      <name val="Arial"/>
      <family val="2"/>
    </font>
    <font>
      <b/>
      <sz val="9"/>
      <color indexed="81"/>
      <name val="Arial"/>
    </font>
    <font>
      <b/>
      <u/>
      <sz val="12"/>
      <color indexed="8"/>
      <name val="Arial"/>
    </font>
    <font>
      <sz val="13"/>
      <color indexed="9"/>
      <name val="Arial"/>
      <family val="2"/>
    </font>
    <font>
      <b/>
      <sz val="13"/>
      <color indexed="9"/>
      <name val="Arial"/>
      <family val="2"/>
    </font>
    <font>
      <sz val="13"/>
      <color indexed="9"/>
      <name val="宋体"/>
      <family val="3"/>
      <charset val="134"/>
    </font>
    <font>
      <sz val="14"/>
      <color indexed="9"/>
      <name val="Arial"/>
    </font>
    <font>
      <b/>
      <sz val="14"/>
      <color indexed="9"/>
      <name val="Arial"/>
    </font>
    <font>
      <b/>
      <sz val="9"/>
      <color indexed="9"/>
      <name val="Arial"/>
    </font>
    <font>
      <b/>
      <sz val="12"/>
      <color indexed="8"/>
      <name val="宋体"/>
      <family val="3"/>
      <charset val="134"/>
    </font>
    <font>
      <sz val="9"/>
      <color indexed="81"/>
      <name val="宋体"/>
      <family val="2"/>
      <charset val="134"/>
    </font>
    <font>
      <b/>
      <sz val="9"/>
      <color indexed="81"/>
      <name val="宋体"/>
      <family val="2"/>
      <charset val="134"/>
    </font>
    <font>
      <sz val="12"/>
      <color indexed="9"/>
      <name val="Arial"/>
    </font>
    <font>
      <b/>
      <sz val="9"/>
      <name val="Arial"/>
    </font>
    <font>
      <sz val="11"/>
      <color indexed="8"/>
      <name val="宋体"/>
      <charset val="134"/>
    </font>
    <font>
      <b/>
      <u/>
      <sz val="12"/>
      <name val="Arial"/>
    </font>
    <font>
      <sz val="14"/>
      <color indexed="8"/>
      <name val="Arial"/>
    </font>
    <font>
      <sz val="12"/>
      <color indexed="9"/>
      <name val="宋体"/>
      <family val="3"/>
      <charset val="134"/>
    </font>
    <font>
      <b/>
      <sz val="14"/>
      <name val="Arial"/>
      <family val="38"/>
    </font>
    <font>
      <sz val="14"/>
      <name val="Arial"/>
      <family val="38"/>
    </font>
    <font>
      <sz val="14"/>
      <color indexed="22"/>
      <name val="Arial"/>
    </font>
    <font>
      <b/>
      <sz val="14.5"/>
      <color indexed="9"/>
      <name val="Arial"/>
    </font>
    <font>
      <b/>
      <sz val="13"/>
      <name val="Arial"/>
    </font>
    <font>
      <i/>
      <sz val="10"/>
      <color indexed="12"/>
      <name val="Arial"/>
    </font>
    <font>
      <sz val="9"/>
      <color indexed="8"/>
      <name val="Arial"/>
      <family val="2"/>
    </font>
    <font>
      <sz val="9"/>
      <name val="Calibri"/>
      <family val="2"/>
      <charset val="134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宋体"/>
      <charset val="134"/>
    </font>
    <font>
      <sz val="8"/>
      <name val="Verdana"/>
    </font>
    <font>
      <sz val="9"/>
      <name val="宋体"/>
      <charset val="134"/>
    </font>
    <font>
      <sz val="12"/>
      <color indexed="23"/>
      <name val="Arial"/>
    </font>
    <font>
      <sz val="10"/>
      <color indexed="23"/>
      <name val="Arial"/>
    </font>
    <font>
      <sz val="11"/>
      <color indexed="23"/>
      <name val="Arial"/>
    </font>
    <font>
      <b/>
      <sz val="12"/>
      <color indexed="23"/>
      <name val="Arial"/>
    </font>
    <font>
      <sz val="9"/>
      <color indexed="8"/>
      <name val="Arial"/>
      <family val="2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9"/>
      <color indexed="9"/>
      <name val="Arial"/>
    </font>
    <font>
      <u/>
      <sz val="11"/>
      <color theme="10"/>
      <name val="宋体"/>
      <charset val="134"/>
    </font>
    <font>
      <u/>
      <sz val="11"/>
      <color theme="11"/>
      <name val="宋体"/>
      <charset val="134"/>
    </font>
    <font>
      <sz val="8"/>
      <name val="宋体"/>
      <charset val="134"/>
    </font>
    <font>
      <b/>
      <sz val="12"/>
      <color theme="0"/>
      <name val="Arial"/>
    </font>
    <font>
      <b/>
      <u/>
      <sz val="9"/>
      <color indexed="8"/>
      <name val="Arial"/>
    </font>
    <font>
      <sz val="12"/>
      <name val="Arial"/>
    </font>
    <font>
      <sz val="9"/>
      <color indexed="81"/>
      <name val="Arial"/>
    </font>
    <font>
      <sz val="10"/>
      <color theme="0"/>
      <name val="Arial"/>
    </font>
    <font>
      <b/>
      <u/>
      <sz val="10"/>
      <color theme="0" tint="-0.34998626667073579"/>
      <name val="Arial"/>
    </font>
    <font>
      <sz val="10"/>
      <color theme="0" tint="-0.34998626667073579"/>
      <name val="Arial"/>
    </font>
    <font>
      <b/>
      <sz val="12"/>
      <color rgb="FF0000FF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96">
    <xf numFmtId="173" fontId="0" fillId="0" borderId="0">
      <alignment vertical="center"/>
    </xf>
    <xf numFmtId="173" fontId="40" fillId="2" borderId="0" applyNumberFormat="0" applyBorder="0" applyAlignment="0" applyProtection="0">
      <alignment vertical="center"/>
    </xf>
    <xf numFmtId="173" fontId="40" fillId="3" borderId="0" applyNumberFormat="0" applyBorder="0" applyAlignment="0" applyProtection="0">
      <alignment vertical="center"/>
    </xf>
    <xf numFmtId="173" fontId="40" fillId="4" borderId="0" applyNumberFormat="0" applyBorder="0" applyAlignment="0" applyProtection="0">
      <alignment vertical="center"/>
    </xf>
    <xf numFmtId="173" fontId="40" fillId="5" borderId="0" applyNumberFormat="0" applyBorder="0" applyAlignment="0" applyProtection="0">
      <alignment vertical="center"/>
    </xf>
    <xf numFmtId="173" fontId="40" fillId="6" borderId="0" applyNumberFormat="0" applyBorder="0" applyAlignment="0" applyProtection="0">
      <alignment vertical="center"/>
    </xf>
    <xf numFmtId="173" fontId="40" fillId="7" borderId="0" applyNumberFormat="0" applyBorder="0" applyAlignment="0" applyProtection="0">
      <alignment vertical="center"/>
    </xf>
    <xf numFmtId="173" fontId="40" fillId="8" borderId="0" applyNumberFormat="0" applyBorder="0" applyAlignment="0" applyProtection="0">
      <alignment vertical="center"/>
    </xf>
    <xf numFmtId="173" fontId="40" fillId="9" borderId="0" applyNumberFormat="0" applyBorder="0" applyAlignment="0" applyProtection="0">
      <alignment vertical="center"/>
    </xf>
    <xf numFmtId="173" fontId="40" fillId="10" borderId="0" applyNumberFormat="0" applyBorder="0" applyAlignment="0" applyProtection="0">
      <alignment vertical="center"/>
    </xf>
    <xf numFmtId="173" fontId="40" fillId="5" borderId="0" applyNumberFormat="0" applyBorder="0" applyAlignment="0" applyProtection="0">
      <alignment vertical="center"/>
    </xf>
    <xf numFmtId="173" fontId="40" fillId="8" borderId="0" applyNumberFormat="0" applyBorder="0" applyAlignment="0" applyProtection="0">
      <alignment vertical="center"/>
    </xf>
    <xf numFmtId="173" fontId="40" fillId="11" borderId="0" applyNumberFormat="0" applyBorder="0" applyAlignment="0" applyProtection="0">
      <alignment vertical="center"/>
    </xf>
    <xf numFmtId="173" fontId="6" fillId="12" borderId="0" applyNumberFormat="0" applyBorder="0" applyAlignment="0" applyProtection="0">
      <alignment vertical="center"/>
    </xf>
    <xf numFmtId="173" fontId="6" fillId="9" borderId="0" applyNumberFormat="0" applyBorder="0" applyAlignment="0" applyProtection="0">
      <alignment vertical="center"/>
    </xf>
    <xf numFmtId="173" fontId="6" fillId="10" borderId="0" applyNumberFormat="0" applyBorder="0" applyAlignment="0" applyProtection="0">
      <alignment vertical="center"/>
    </xf>
    <xf numFmtId="173" fontId="6" fillId="13" borderId="0" applyNumberFormat="0" applyBorder="0" applyAlignment="0" applyProtection="0">
      <alignment vertical="center"/>
    </xf>
    <xf numFmtId="173" fontId="6" fillId="14" borderId="0" applyNumberFormat="0" applyBorder="0" applyAlignment="0" applyProtection="0">
      <alignment vertical="center"/>
    </xf>
    <xf numFmtId="173" fontId="6" fillId="15" borderId="0" applyNumberFormat="0" applyBorder="0" applyAlignment="0" applyProtection="0">
      <alignment vertical="center"/>
    </xf>
    <xf numFmtId="173" fontId="8" fillId="0" borderId="0" applyProtection="0"/>
    <xf numFmtId="173" fontId="8" fillId="0" borderId="0" applyProtection="0"/>
    <xf numFmtId="173" fontId="11" fillId="0" borderId="0" applyNumberFormat="0" applyFill="0" applyBorder="0" applyAlignment="0" applyProtection="0">
      <alignment vertical="center"/>
    </xf>
    <xf numFmtId="173" fontId="19" fillId="0" borderId="1" applyNumberFormat="0" applyFill="0" applyAlignment="0" applyProtection="0">
      <alignment vertical="center"/>
    </xf>
    <xf numFmtId="173" fontId="18" fillId="0" borderId="2" applyNumberFormat="0" applyFill="0" applyAlignment="0" applyProtection="0">
      <alignment vertical="center"/>
    </xf>
    <xf numFmtId="173" fontId="4" fillId="0" borderId="3" applyNumberFormat="0" applyFill="0" applyAlignment="0" applyProtection="0">
      <alignment vertical="center"/>
    </xf>
    <xf numFmtId="173" fontId="4" fillId="0" borderId="0" applyNumberFormat="0" applyFill="0" applyBorder="0" applyAlignment="0" applyProtection="0">
      <alignment vertical="center"/>
    </xf>
    <xf numFmtId="173" fontId="7" fillId="3" borderId="0" applyNumberFormat="0" applyBorder="0" applyAlignment="0" applyProtection="0">
      <alignment vertical="center"/>
    </xf>
    <xf numFmtId="173" fontId="3" fillId="0" borderId="0" applyProtection="0"/>
    <xf numFmtId="173" fontId="3" fillId="0" borderId="0" applyProtection="0"/>
    <xf numFmtId="173" fontId="3" fillId="0" borderId="0" applyProtection="0"/>
    <xf numFmtId="173" fontId="3" fillId="0" borderId="0" applyProtection="0"/>
    <xf numFmtId="173" fontId="3" fillId="0" borderId="0" applyProtection="0"/>
    <xf numFmtId="173" fontId="40" fillId="0" borderId="0">
      <alignment vertical="center"/>
    </xf>
    <xf numFmtId="173" fontId="40" fillId="0" borderId="0" applyProtection="0">
      <alignment vertical="center"/>
    </xf>
    <xf numFmtId="173" fontId="40" fillId="0" borderId="0" applyProtection="0">
      <alignment vertical="center"/>
    </xf>
    <xf numFmtId="173" fontId="40" fillId="0" borderId="0">
      <alignment vertical="center"/>
    </xf>
    <xf numFmtId="173" fontId="40" fillId="0" borderId="0">
      <alignment vertical="center"/>
    </xf>
    <xf numFmtId="173" fontId="40" fillId="0" borderId="0">
      <alignment vertical="center"/>
    </xf>
    <xf numFmtId="173" fontId="20" fillId="0" borderId="0">
      <alignment vertical="center"/>
    </xf>
    <xf numFmtId="173" fontId="40" fillId="0" borderId="0">
      <alignment vertical="center"/>
    </xf>
    <xf numFmtId="173" fontId="17" fillId="4" borderId="0" applyNumberFormat="0" applyBorder="0" applyAlignment="0" applyProtection="0">
      <alignment vertical="center"/>
    </xf>
    <xf numFmtId="173" fontId="21" fillId="0" borderId="4" applyNumberFormat="0" applyFill="0" applyAlignment="0" applyProtection="0">
      <alignment vertical="center"/>
    </xf>
    <xf numFmtId="7" fontId="40" fillId="0" borderId="0" applyProtection="0">
      <alignment vertical="center"/>
    </xf>
    <xf numFmtId="165" fontId="40" fillId="0" borderId="0" applyFont="0" applyFill="0" applyBorder="0" applyAlignment="0" applyProtection="0">
      <alignment vertical="center"/>
    </xf>
    <xf numFmtId="7" fontId="40" fillId="0" borderId="0" applyProtection="0">
      <alignment vertical="center"/>
    </xf>
    <xf numFmtId="173" fontId="16" fillId="16" borderId="5" applyNumberFormat="0" applyAlignment="0" applyProtection="0">
      <alignment vertical="center"/>
    </xf>
    <xf numFmtId="173" fontId="14" fillId="17" borderId="6" applyNumberFormat="0" applyAlignment="0" applyProtection="0">
      <alignment vertical="center"/>
    </xf>
    <xf numFmtId="173" fontId="10" fillId="0" borderId="0" applyNumberFormat="0" applyFill="0" applyBorder="0" applyAlignment="0" applyProtection="0">
      <alignment vertical="center"/>
    </xf>
    <xf numFmtId="173" fontId="5" fillId="0" borderId="0" applyNumberFormat="0" applyFill="0" applyBorder="0" applyAlignment="0" applyProtection="0">
      <alignment vertical="center"/>
    </xf>
    <xf numFmtId="173" fontId="15" fillId="0" borderId="7" applyNumberFormat="0" applyFill="0" applyAlignment="0" applyProtection="0">
      <alignment vertical="center"/>
    </xf>
    <xf numFmtId="173" fontId="6" fillId="18" borderId="0" applyNumberFormat="0" applyBorder="0" applyAlignment="0" applyProtection="0">
      <alignment vertical="center"/>
    </xf>
    <xf numFmtId="173" fontId="6" fillId="19" borderId="0" applyNumberFormat="0" applyBorder="0" applyAlignment="0" applyProtection="0">
      <alignment vertical="center"/>
    </xf>
    <xf numFmtId="173" fontId="6" fillId="20" borderId="0" applyNumberFormat="0" applyBorder="0" applyAlignment="0" applyProtection="0">
      <alignment vertical="center"/>
    </xf>
    <xf numFmtId="173" fontId="6" fillId="13" borderId="0" applyNumberFormat="0" applyBorder="0" applyAlignment="0" applyProtection="0">
      <alignment vertical="center"/>
    </xf>
    <xf numFmtId="173" fontId="6" fillId="14" borderId="0" applyNumberFormat="0" applyBorder="0" applyAlignment="0" applyProtection="0">
      <alignment vertical="center"/>
    </xf>
    <xf numFmtId="173" fontId="6" fillId="21" borderId="0" applyNumberFormat="0" applyBorder="0" applyAlignment="0" applyProtection="0">
      <alignment vertical="center"/>
    </xf>
    <xf numFmtId="173" fontId="13" fillId="22" borderId="0" applyNumberFormat="0" applyBorder="0" applyAlignment="0" applyProtection="0">
      <alignment vertical="center"/>
    </xf>
    <xf numFmtId="173" fontId="12" fillId="16" borderId="8" applyNumberFormat="0" applyAlignment="0" applyProtection="0">
      <alignment vertical="center"/>
    </xf>
    <xf numFmtId="173" fontId="9" fillId="7" borderId="5" applyNumberFormat="0" applyAlignment="0" applyProtection="0">
      <alignment vertical="center"/>
    </xf>
    <xf numFmtId="173" fontId="40" fillId="23" borderId="9" applyNumberFormat="0" applyFont="0" applyAlignment="0" applyProtection="0">
      <alignment vertical="center"/>
    </xf>
    <xf numFmtId="173" fontId="50" fillId="0" borderId="0"/>
    <xf numFmtId="4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73" fontId="42" fillId="0" borderId="0"/>
    <xf numFmtId="173" fontId="81" fillId="0" borderId="0"/>
    <xf numFmtId="173" fontId="81" fillId="0" borderId="0"/>
    <xf numFmtId="0" fontId="42" fillId="0" borderId="0"/>
    <xf numFmtId="173" fontId="89" fillId="0" borderId="0" applyNumberFormat="0" applyFill="0" applyBorder="0" applyAlignment="0" applyProtection="0">
      <alignment vertical="center"/>
    </xf>
    <xf numFmtId="173" fontId="90" fillId="0" borderId="0" applyNumberFormat="0" applyFill="0" applyBorder="0" applyAlignment="0" applyProtection="0">
      <alignment vertical="center"/>
    </xf>
    <xf numFmtId="0" fontId="42" fillId="0" borderId="0"/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  <xf numFmtId="173" fontId="92" fillId="0" borderId="0" applyNumberFormat="0" applyFill="0" applyBorder="0" applyAlignment="0" applyProtection="0">
      <alignment vertical="center"/>
    </xf>
    <xf numFmtId="173" fontId="93" fillId="0" borderId="0" applyNumberFormat="0" applyFill="0" applyBorder="0" applyAlignment="0" applyProtection="0">
      <alignment vertical="center"/>
    </xf>
  </cellStyleXfs>
  <cellXfs count="565">
    <xf numFmtId="173" fontId="0" fillId="0" borderId="0" xfId="0">
      <alignment vertical="center"/>
    </xf>
    <xf numFmtId="173" fontId="3" fillId="0" borderId="0" xfId="27" applyNumberFormat="1" applyFont="1" applyFill="1" applyBorder="1" applyAlignment="1"/>
    <xf numFmtId="169" fontId="23" fillId="0" borderId="13" xfId="27" applyNumberFormat="1" applyFont="1" applyFill="1" applyBorder="1" applyAlignment="1">
      <alignment horizontal="center" vertical="center" wrapText="1"/>
    </xf>
    <xf numFmtId="169" fontId="23" fillId="0" borderId="13" xfId="20" applyNumberFormat="1" applyFont="1" applyFill="1" applyBorder="1" applyAlignment="1">
      <alignment horizontal="center" vertical="center" wrapText="1"/>
    </xf>
    <xf numFmtId="173" fontId="27" fillId="0" borderId="13" xfId="27" applyNumberFormat="1" applyFont="1" applyFill="1" applyBorder="1" applyAlignment="1">
      <alignment vertical="center"/>
    </xf>
    <xf numFmtId="173" fontId="27" fillId="0" borderId="13" xfId="19" applyNumberFormat="1" applyFont="1" applyFill="1" applyBorder="1" applyAlignment="1">
      <alignment horizontal="center" vertical="center"/>
    </xf>
    <xf numFmtId="173" fontId="23" fillId="0" borderId="13" xfId="27" applyNumberFormat="1" applyFont="1" applyFill="1" applyBorder="1" applyAlignment="1">
      <alignment horizontal="left" vertical="center"/>
    </xf>
    <xf numFmtId="173" fontId="28" fillId="24" borderId="13" xfId="27" applyNumberFormat="1" applyFont="1" applyFill="1" applyBorder="1" applyAlignment="1">
      <alignment horizontal="left" vertical="center" wrapText="1"/>
    </xf>
    <xf numFmtId="169" fontId="30" fillId="0" borderId="13" xfId="20" applyNumberFormat="1" applyFont="1" applyFill="1" applyBorder="1" applyAlignment="1">
      <alignment horizontal="center" vertical="center" wrapText="1"/>
    </xf>
    <xf numFmtId="169" fontId="30" fillId="0" borderId="13" xfId="27" applyNumberFormat="1" applyFont="1" applyFill="1" applyBorder="1" applyAlignment="1">
      <alignment horizontal="center" vertical="center" wrapText="1"/>
    </xf>
    <xf numFmtId="173" fontId="8" fillId="0" borderId="0" xfId="27" applyNumberFormat="1" applyFont="1" applyFill="1" applyBorder="1" applyAlignment="1"/>
    <xf numFmtId="173" fontId="8" fillId="0" borderId="13" xfId="27" applyNumberFormat="1" applyFont="1" applyFill="1" applyBorder="1" applyAlignment="1">
      <alignment vertical="center"/>
    </xf>
    <xf numFmtId="173" fontId="8" fillId="0" borderId="13" xfId="27" applyNumberFormat="1" applyFont="1" applyFill="1" applyBorder="1" applyAlignment="1"/>
    <xf numFmtId="173" fontId="1" fillId="0" borderId="0" xfId="0" applyFont="1">
      <alignment vertical="center"/>
    </xf>
    <xf numFmtId="173" fontId="28" fillId="24" borderId="0" xfId="0" applyNumberFormat="1" applyFont="1" applyFill="1" applyBorder="1" applyAlignment="1">
      <alignment horizontal="center" vertical="center"/>
    </xf>
    <xf numFmtId="172" fontId="28" fillId="24" borderId="0" xfId="0" applyNumberFormat="1" applyFont="1" applyFill="1" applyBorder="1" applyAlignment="1">
      <alignment horizontal="center"/>
    </xf>
    <xf numFmtId="173" fontId="28" fillId="24" borderId="0" xfId="0" applyNumberFormat="1" applyFont="1" applyFill="1" applyBorder="1" applyAlignment="1">
      <alignment horizontal="center"/>
    </xf>
    <xf numFmtId="173" fontId="29" fillId="24" borderId="0" xfId="0" applyNumberFormat="1" applyFont="1" applyFill="1" applyBorder="1" applyAlignment="1">
      <alignment horizontal="center" vertical="center"/>
    </xf>
    <xf numFmtId="164" fontId="8" fillId="0" borderId="9" xfId="28" applyNumberFormat="1" applyFont="1" applyFill="1" applyBorder="1" applyAlignment="1">
      <alignment vertical="center" wrapText="1"/>
    </xf>
    <xf numFmtId="173" fontId="8" fillId="0" borderId="0" xfId="0" applyNumberFormat="1" applyFont="1" applyFill="1" applyBorder="1" applyAlignment="1">
      <alignment vertical="center"/>
    </xf>
    <xf numFmtId="172" fontId="8" fillId="0" borderId="0" xfId="0" applyNumberFormat="1" applyFont="1" applyFill="1" applyBorder="1" applyAlignment="1">
      <alignment vertical="center"/>
    </xf>
    <xf numFmtId="173" fontId="8" fillId="0" borderId="0" xfId="0" applyNumberFormat="1" applyFont="1" applyFill="1" applyBorder="1" applyAlignment="1">
      <alignment vertical="center" wrapText="1"/>
    </xf>
    <xf numFmtId="173" fontId="1" fillId="0" borderId="0" xfId="0" applyFont="1" applyAlignment="1">
      <alignment horizontal="center" vertical="center"/>
    </xf>
    <xf numFmtId="173" fontId="1" fillId="0" borderId="13" xfId="27" applyNumberFormat="1" applyFont="1" applyFill="1" applyBorder="1" applyAlignment="1">
      <alignment vertical="center" wrapText="1"/>
    </xf>
    <xf numFmtId="173" fontId="8" fillId="0" borderId="0" xfId="0" applyNumberFormat="1" applyFont="1" applyFill="1" applyAlignment="1"/>
    <xf numFmtId="173" fontId="8" fillId="0" borderId="0" xfId="0" applyNumberFormat="1" applyFont="1" applyFill="1">
      <alignment vertical="center"/>
    </xf>
    <xf numFmtId="14" fontId="8" fillId="0" borderId="0" xfId="0" applyNumberFormat="1" applyFont="1" applyFill="1" applyAlignment="1"/>
    <xf numFmtId="173" fontId="1" fillId="0" borderId="13" xfId="0" applyFont="1" applyBorder="1">
      <alignment vertical="center"/>
    </xf>
    <xf numFmtId="173" fontId="32" fillId="24" borderId="13" xfId="27" applyNumberFormat="1" applyFont="1" applyFill="1" applyBorder="1" applyAlignment="1">
      <alignment horizontal="left" vertical="center" wrapText="1"/>
    </xf>
    <xf numFmtId="173" fontId="34" fillId="24" borderId="13" xfId="27" applyNumberFormat="1" applyFont="1" applyFill="1" applyBorder="1" applyAlignment="1"/>
    <xf numFmtId="173" fontId="1" fillId="0" borderId="15" xfId="27" applyNumberFormat="1" applyFont="1" applyFill="1" applyBorder="1" applyAlignment="1">
      <alignment horizontal="center" vertical="center"/>
    </xf>
    <xf numFmtId="173" fontId="24" fillId="0" borderId="13" xfId="27" applyNumberFormat="1" applyFont="1" applyFill="1" applyBorder="1" applyAlignment="1"/>
    <xf numFmtId="173" fontId="0" fillId="0" borderId="13" xfId="0" applyFont="1" applyBorder="1">
      <alignment vertical="center"/>
    </xf>
    <xf numFmtId="173" fontId="1" fillId="0" borderId="15" xfId="27" applyNumberFormat="1" applyFont="1" applyFill="1" applyBorder="1" applyAlignment="1">
      <alignment vertical="center"/>
    </xf>
    <xf numFmtId="171" fontId="24" fillId="0" borderId="13" xfId="27" applyNumberFormat="1" applyFont="1" applyFill="1" applyBorder="1" applyAlignment="1">
      <alignment horizontal="center"/>
    </xf>
    <xf numFmtId="171" fontId="1" fillId="0" borderId="13" xfId="27" applyNumberFormat="1" applyFont="1" applyFill="1" applyBorder="1" applyAlignment="1">
      <alignment horizontal="center"/>
    </xf>
    <xf numFmtId="173" fontId="24" fillId="0" borderId="13" xfId="27" applyNumberFormat="1" applyFont="1" applyFill="1" applyBorder="1" applyAlignment="1">
      <alignment vertical="center"/>
    </xf>
    <xf numFmtId="173" fontId="32" fillId="24" borderId="13" xfId="27" applyNumberFormat="1" applyFont="1" applyFill="1" applyBorder="1" applyAlignment="1">
      <alignment vertical="center"/>
    </xf>
    <xf numFmtId="173" fontId="36" fillId="0" borderId="0" xfId="0" applyFont="1" applyAlignment="1">
      <alignment vertical="center" wrapText="1"/>
    </xf>
    <xf numFmtId="173" fontId="28" fillId="24" borderId="0" xfId="0" applyNumberFormat="1" applyFont="1" applyFill="1" applyBorder="1" applyAlignment="1"/>
    <xf numFmtId="173" fontId="8" fillId="0" borderId="0" xfId="0" applyNumberFormat="1" applyFont="1" applyAlignment="1"/>
    <xf numFmtId="173" fontId="8" fillId="0" borderId="0" xfId="27" applyNumberFormat="1" applyFont="1" applyFill="1" applyBorder="1" applyAlignment="1">
      <alignment horizontal="center"/>
    </xf>
    <xf numFmtId="170" fontId="8" fillId="0" borderId="13" xfId="27" applyNumberFormat="1" applyFont="1" applyFill="1" applyBorder="1" applyAlignment="1">
      <alignment vertical="center"/>
    </xf>
    <xf numFmtId="170" fontId="8" fillId="0" borderId="13" xfId="27" applyNumberFormat="1" applyFont="1" applyFill="1" applyBorder="1" applyAlignment="1"/>
    <xf numFmtId="170" fontId="8" fillId="0" borderId="0" xfId="27" applyNumberFormat="1" applyFont="1" applyFill="1" applyBorder="1" applyAlignment="1"/>
    <xf numFmtId="166" fontId="3" fillId="0" borderId="0" xfId="27" applyNumberFormat="1" applyFont="1" applyFill="1" applyBorder="1" applyAlignment="1"/>
    <xf numFmtId="175" fontId="3" fillId="0" borderId="0" xfId="28" applyNumberFormat="1" applyFont="1" applyFill="1" applyBorder="1" applyAlignment="1"/>
    <xf numFmtId="175" fontId="26" fillId="0" borderId="0" xfId="28" applyNumberFormat="1" applyFont="1" applyFill="1" applyBorder="1" applyAlignment="1"/>
    <xf numFmtId="175" fontId="3" fillId="0" borderId="0" xfId="28" applyNumberFormat="1" applyFont="1" applyFill="1" applyBorder="1" applyAlignment="1">
      <alignment horizontal="left" indent="1"/>
    </xf>
    <xf numFmtId="175" fontId="22" fillId="0" borderId="0" xfId="28" applyNumberFormat="1" applyFont="1" applyFill="1" applyBorder="1" applyAlignment="1">
      <alignment horizontal="left" indent="1"/>
    </xf>
    <xf numFmtId="175" fontId="3" fillId="0" borderId="0" xfId="28" applyNumberFormat="1" applyFont="1" applyFill="1" applyBorder="1" applyAlignment="1">
      <alignment horizontal="center"/>
    </xf>
    <xf numFmtId="176" fontId="3" fillId="0" borderId="0" xfId="28" applyNumberFormat="1" applyFont="1" applyFill="1" applyBorder="1" applyAlignment="1"/>
    <xf numFmtId="176" fontId="3" fillId="0" borderId="0" xfId="28" applyNumberFormat="1" applyFont="1" applyFill="1" applyBorder="1" applyAlignment="1">
      <alignment horizontal="right"/>
    </xf>
    <xf numFmtId="176" fontId="3" fillId="0" borderId="0" xfId="28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/>
    <xf numFmtId="44" fontId="1" fillId="0" borderId="0" xfId="61" applyFont="1" applyAlignment="1">
      <alignment vertical="center"/>
    </xf>
    <xf numFmtId="173" fontId="3" fillId="0" borderId="0" xfId="27" applyNumberFormat="1" applyFont="1"/>
    <xf numFmtId="169" fontId="24" fillId="0" borderId="0" xfId="27" applyNumberFormat="1" applyFont="1" applyBorder="1" applyAlignment="1">
      <alignment horizontal="center"/>
    </xf>
    <xf numFmtId="169" fontId="24" fillId="0" borderId="0" xfId="27" applyNumberFormat="1" applyFont="1" applyFill="1" applyBorder="1" applyAlignment="1">
      <alignment horizontal="center"/>
    </xf>
    <xf numFmtId="44" fontId="0" fillId="0" borderId="0" xfId="61" applyFont="1" applyAlignment="1">
      <alignment vertical="center"/>
    </xf>
    <xf numFmtId="177" fontId="3" fillId="0" borderId="0" xfId="28" applyNumberFormat="1" applyFont="1" applyFill="1" applyBorder="1" applyAlignment="1"/>
    <xf numFmtId="177" fontId="22" fillId="0" borderId="0" xfId="28" applyNumberFormat="1" applyFont="1" applyFill="1" applyBorder="1" applyAlignment="1">
      <alignment horizontal="center" wrapText="1"/>
    </xf>
    <xf numFmtId="177" fontId="22" fillId="0" borderId="0" xfId="30" applyNumberFormat="1" applyFont="1" applyFill="1" applyBorder="1" applyAlignment="1">
      <alignment horizontal="center" wrapText="1"/>
    </xf>
    <xf numFmtId="44" fontId="22" fillId="0" borderId="18" xfId="61" applyFont="1" applyFill="1" applyBorder="1" applyAlignment="1">
      <alignment horizontal="center"/>
    </xf>
    <xf numFmtId="44" fontId="23" fillId="0" borderId="18" xfId="61" applyFont="1" applyFill="1" applyBorder="1" applyAlignment="1">
      <alignment horizontal="center"/>
    </xf>
    <xf numFmtId="44" fontId="3" fillId="0" borderId="0" xfId="61" applyFont="1" applyFill="1" applyBorder="1" applyAlignment="1">
      <alignment horizontal="center"/>
    </xf>
    <xf numFmtId="44" fontId="0" fillId="0" borderId="0" xfId="61" applyFont="1" applyFill="1" applyBorder="1" applyAlignment="1"/>
    <xf numFmtId="44" fontId="0" fillId="0" borderId="21" xfId="61" applyFont="1" applyFill="1" applyBorder="1" applyAlignment="1"/>
    <xf numFmtId="44" fontId="44" fillId="0" borderId="0" xfId="61" applyFont="1" applyFill="1" applyBorder="1" applyAlignment="1"/>
    <xf numFmtId="44" fontId="22" fillId="0" borderId="19" xfId="61" applyFont="1" applyFill="1" applyBorder="1" applyAlignment="1">
      <alignment horizontal="center"/>
    </xf>
    <xf numFmtId="44" fontId="22" fillId="0" borderId="20" xfId="61" applyFont="1" applyFill="1" applyBorder="1" applyAlignment="1">
      <alignment horizontal="center"/>
    </xf>
    <xf numFmtId="164" fontId="8" fillId="0" borderId="0" xfId="28" applyNumberFormat="1" applyFont="1" applyFill="1" applyBorder="1" applyAlignment="1">
      <alignment vertical="center" wrapText="1"/>
    </xf>
    <xf numFmtId="177" fontId="22" fillId="16" borderId="0" xfId="30" applyNumberFormat="1" applyFont="1" applyFill="1" applyBorder="1" applyAlignment="1">
      <alignment horizontal="center" wrapText="1"/>
    </xf>
    <xf numFmtId="44" fontId="23" fillId="16" borderId="18" xfId="61" applyFont="1" applyFill="1" applyBorder="1" applyAlignment="1">
      <alignment horizontal="center"/>
    </xf>
    <xf numFmtId="44" fontId="3" fillId="16" borderId="0" xfId="61" applyFont="1" applyFill="1" applyBorder="1" applyAlignment="1">
      <alignment horizontal="center"/>
    </xf>
    <xf numFmtId="44" fontId="40" fillId="16" borderId="0" xfId="61" applyFont="1" applyFill="1" applyBorder="1" applyAlignment="1"/>
    <xf numFmtId="44" fontId="22" fillId="16" borderId="19" xfId="61" applyFont="1" applyFill="1" applyBorder="1" applyAlignment="1">
      <alignment horizontal="center"/>
    </xf>
    <xf numFmtId="44" fontId="22" fillId="16" borderId="20" xfId="61" applyFont="1" applyFill="1" applyBorder="1" applyAlignment="1">
      <alignment horizontal="center"/>
    </xf>
    <xf numFmtId="44" fontId="24" fillId="0" borderId="0" xfId="61" applyFont="1" applyBorder="1" applyAlignment="1">
      <alignment horizontal="center"/>
    </xf>
    <xf numFmtId="169" fontId="1" fillId="0" borderId="13" xfId="0" applyNumberFormat="1" applyFont="1" applyBorder="1">
      <alignment vertical="center"/>
    </xf>
    <xf numFmtId="169" fontId="1" fillId="0" borderId="0" xfId="0" applyNumberFormat="1" applyFont="1">
      <alignment vertical="center"/>
    </xf>
    <xf numFmtId="169" fontId="1" fillId="0" borderId="23" xfId="0" applyNumberFormat="1" applyFont="1" applyBorder="1">
      <alignment vertical="center"/>
    </xf>
    <xf numFmtId="169" fontId="1" fillId="0" borderId="0" xfId="0" applyNumberFormat="1" applyFont="1" applyBorder="1">
      <alignment vertical="center"/>
    </xf>
    <xf numFmtId="169" fontId="1" fillId="0" borderId="10" xfId="0" applyNumberFormat="1" applyFont="1" applyBorder="1">
      <alignment vertical="center"/>
    </xf>
    <xf numFmtId="173" fontId="25" fillId="0" borderId="0" xfId="27" applyNumberFormat="1" applyFont="1" applyBorder="1" applyAlignment="1">
      <alignment horizontal="center"/>
    </xf>
    <xf numFmtId="173" fontId="29" fillId="24" borderId="0" xfId="27" applyNumberFormat="1" applyFont="1" applyFill="1" applyBorder="1" applyAlignment="1"/>
    <xf numFmtId="173" fontId="3" fillId="0" borderId="23" xfId="27" applyNumberFormat="1" applyFont="1" applyFill="1" applyBorder="1" applyAlignment="1"/>
    <xf numFmtId="173" fontId="28" fillId="0" borderId="0" xfId="0" applyNumberFormat="1" applyFont="1" applyFill="1" applyBorder="1" applyAlignment="1"/>
    <xf numFmtId="173" fontId="0" fillId="0" borderId="0" xfId="0" applyNumberFormat="1" applyFill="1" applyBorder="1" applyAlignment="1"/>
    <xf numFmtId="164" fontId="0" fillId="0" borderId="0" xfId="0" applyNumberFormat="1" applyFill="1" applyBorder="1" applyAlignment="1">
      <alignment horizontal="center"/>
    </xf>
    <xf numFmtId="173" fontId="0" fillId="0" borderId="0" xfId="0" applyNumberFormat="1" applyFill="1" applyBorder="1" applyAlignment="1">
      <alignment horizontal="center"/>
    </xf>
    <xf numFmtId="173" fontId="2" fillId="0" borderId="0" xfId="60" applyFont="1" applyFill="1" applyBorder="1" applyAlignment="1"/>
    <xf numFmtId="173" fontId="49" fillId="0" borderId="0" xfId="60" applyFont="1" applyFill="1" applyBorder="1" applyAlignment="1"/>
    <xf numFmtId="173" fontId="0" fillId="0" borderId="0" xfId="0" applyFont="1" applyFill="1">
      <alignment vertical="center"/>
    </xf>
    <xf numFmtId="173" fontId="33" fillId="0" borderId="0" xfId="27" applyNumberFormat="1" applyFont="1" applyFill="1" applyBorder="1" applyAlignment="1"/>
    <xf numFmtId="170" fontId="0" fillId="0" borderId="0" xfId="0" applyNumberFormat="1" applyFont="1" applyFill="1">
      <alignment vertical="center"/>
    </xf>
    <xf numFmtId="173" fontId="36" fillId="0" borderId="13" xfId="27" applyNumberFormat="1" applyFont="1" applyFill="1" applyBorder="1" applyAlignment="1">
      <alignment vertical="center"/>
    </xf>
    <xf numFmtId="170" fontId="36" fillId="0" borderId="13" xfId="27" applyNumberFormat="1" applyFont="1" applyFill="1" applyBorder="1" applyAlignment="1">
      <alignment vertical="center"/>
    </xf>
    <xf numFmtId="173" fontId="36" fillId="0" borderId="0" xfId="27" applyNumberFormat="1" applyFont="1" applyFill="1" applyBorder="1" applyAlignment="1"/>
    <xf numFmtId="173" fontId="42" fillId="0" borderId="0" xfId="27" applyNumberFormat="1" applyFont="1" applyFill="1" applyBorder="1" applyAlignment="1"/>
    <xf numFmtId="169" fontId="30" fillId="22" borderId="13" xfId="27" applyNumberFormat="1" applyFont="1" applyFill="1" applyBorder="1" applyAlignment="1">
      <alignment horizontal="center" vertical="center" wrapText="1"/>
    </xf>
    <xf numFmtId="169" fontId="30" fillId="22" borderId="13" xfId="20" applyNumberFormat="1" applyFont="1" applyFill="1" applyBorder="1" applyAlignment="1">
      <alignment horizontal="center" vertical="center" wrapText="1"/>
    </xf>
    <xf numFmtId="173" fontId="55" fillId="0" borderId="13" xfId="27" applyNumberFormat="1" applyFont="1" applyFill="1" applyBorder="1" applyAlignment="1">
      <alignment horizontal="left" vertical="center"/>
    </xf>
    <xf numFmtId="173" fontId="60" fillId="24" borderId="0" xfId="0" applyFont="1" applyFill="1" applyAlignment="1">
      <alignment horizontal="center" vertical="center"/>
    </xf>
    <xf numFmtId="14" fontId="2" fillId="0" borderId="0" xfId="60" applyNumberFormat="1" applyFont="1" applyFill="1" applyBorder="1" applyAlignment="1">
      <alignment horizontal="right"/>
    </xf>
    <xf numFmtId="2" fontId="2" fillId="0" borderId="0" xfId="60" applyNumberFormat="1" applyFont="1" applyFill="1" applyBorder="1" applyAlignment="1">
      <alignment horizontal="right"/>
    </xf>
    <xf numFmtId="14" fontId="49" fillId="0" borderId="0" xfId="60" applyNumberFormat="1" applyFont="1" applyFill="1" applyBorder="1" applyAlignment="1">
      <alignment horizontal="right"/>
    </xf>
    <xf numFmtId="170" fontId="29" fillId="24" borderId="13" xfId="27" applyNumberFormat="1" applyFont="1" applyFill="1" applyBorder="1" applyAlignment="1">
      <alignment vertical="center"/>
    </xf>
    <xf numFmtId="170" fontId="8" fillId="16" borderId="13" xfId="27" applyNumberFormat="1" applyFont="1" applyFill="1" applyBorder="1" applyAlignment="1">
      <alignment vertical="center"/>
    </xf>
    <xf numFmtId="173" fontId="8" fillId="16" borderId="0" xfId="27" applyNumberFormat="1" applyFont="1" applyFill="1" applyBorder="1" applyAlignment="1"/>
    <xf numFmtId="173" fontId="46" fillId="24" borderId="13" xfId="19" applyNumberFormat="1" applyFont="1" applyFill="1" applyBorder="1" applyAlignment="1">
      <alignment horizontal="left" vertical="center"/>
    </xf>
    <xf numFmtId="173" fontId="53" fillId="24" borderId="13" xfId="19" applyNumberFormat="1" applyFont="1" applyFill="1" applyBorder="1" applyAlignment="1">
      <alignment horizontal="left" vertical="center"/>
    </xf>
    <xf numFmtId="173" fontId="37" fillId="0" borderId="13" xfId="27" applyNumberFormat="1" applyFont="1" applyFill="1" applyBorder="1" applyAlignment="1">
      <alignment horizontal="left" vertical="center"/>
    </xf>
    <xf numFmtId="173" fontId="53" fillId="24" borderId="13" xfId="27" applyNumberFormat="1" applyFont="1" applyFill="1" applyBorder="1" applyAlignment="1">
      <alignment vertical="center"/>
    </xf>
    <xf numFmtId="173" fontId="37" fillId="16" borderId="13" xfId="27" applyNumberFormat="1" applyFont="1" applyFill="1" applyBorder="1" applyAlignment="1">
      <alignment horizontal="left" vertical="center"/>
    </xf>
    <xf numFmtId="170" fontId="37" fillId="16" borderId="13" xfId="27" applyNumberFormat="1" applyFont="1" applyFill="1" applyBorder="1" applyAlignment="1">
      <alignment horizontal="center" vertical="center"/>
    </xf>
    <xf numFmtId="173" fontId="37" fillId="16" borderId="0" xfId="27" applyNumberFormat="1" applyFont="1" applyFill="1" applyBorder="1" applyAlignment="1">
      <alignment horizontal="center"/>
    </xf>
    <xf numFmtId="173" fontId="62" fillId="16" borderId="0" xfId="0" applyFont="1" applyFill="1" applyAlignment="1">
      <alignment horizontal="center" vertical="center"/>
    </xf>
    <xf numFmtId="173" fontId="22" fillId="0" borderId="0" xfId="27" applyNumberFormat="1" applyFont="1" applyFill="1" applyBorder="1" applyAlignment="1">
      <alignment horizontal="center" wrapText="1"/>
    </xf>
    <xf numFmtId="173" fontId="22" fillId="0" borderId="25" xfId="27" applyNumberFormat="1" applyFont="1" applyFill="1" applyBorder="1" applyAlignment="1"/>
    <xf numFmtId="180" fontId="22" fillId="0" borderId="27" xfId="27" applyNumberFormat="1" applyFont="1" applyFill="1" applyBorder="1" applyAlignment="1">
      <alignment horizontal="center" wrapText="1"/>
    </xf>
    <xf numFmtId="173" fontId="3" fillId="0" borderId="25" xfId="27" applyNumberFormat="1" applyFont="1" applyFill="1" applyBorder="1" applyAlignment="1"/>
    <xf numFmtId="166" fontId="26" fillId="0" borderId="26" xfId="27" applyNumberFormat="1" applyFont="1" applyFill="1" applyBorder="1" applyAlignment="1">
      <alignment horizontal="center" wrapText="1"/>
    </xf>
    <xf numFmtId="173" fontId="2" fillId="0" borderId="0" xfId="0" applyNumberFormat="1" applyFont="1" applyFill="1" applyBorder="1" applyAlignment="1"/>
    <xf numFmtId="44" fontId="28" fillId="24" borderId="0" xfId="61" applyFont="1" applyFill="1" applyBorder="1" applyAlignment="1">
      <alignment horizontal="left"/>
    </xf>
    <xf numFmtId="44" fontId="3" fillId="0" borderId="0" xfId="61" applyFont="1" applyFill="1" applyBorder="1" applyAlignment="1">
      <alignment horizontal="left" vertical="center" wrapText="1"/>
    </xf>
    <xf numFmtId="44" fontId="8" fillId="0" borderId="0" xfId="61" applyFont="1" applyFill="1" applyBorder="1" applyAlignment="1">
      <alignment horizontal="left" vertical="center"/>
    </xf>
    <xf numFmtId="10" fontId="47" fillId="26" borderId="13" xfId="27" applyNumberFormat="1" applyFont="1" applyFill="1" applyBorder="1" applyAlignment="1">
      <alignment horizontal="center"/>
    </xf>
    <xf numFmtId="10" fontId="47" fillId="0" borderId="13" xfId="27" applyNumberFormat="1" applyFont="1" applyFill="1" applyBorder="1" applyAlignment="1">
      <alignment horizontal="center"/>
    </xf>
    <xf numFmtId="10" fontId="48" fillId="26" borderId="13" xfId="27" applyNumberFormat="1" applyFont="1" applyFill="1" applyBorder="1" applyAlignment="1">
      <alignment horizontal="center"/>
    </xf>
    <xf numFmtId="172" fontId="32" fillId="24" borderId="13" xfId="0" applyNumberFormat="1" applyFont="1" applyFill="1" applyBorder="1" applyAlignment="1">
      <alignment horizontal="center"/>
    </xf>
    <xf numFmtId="169" fontId="23" fillId="0" borderId="23" xfId="20" applyNumberFormat="1" applyFont="1" applyFill="1" applyBorder="1" applyAlignment="1">
      <alignment horizontal="left" wrapText="1"/>
    </xf>
    <xf numFmtId="173" fontId="65" fillId="24" borderId="29" xfId="27" applyNumberFormat="1" applyFont="1" applyFill="1" applyBorder="1" applyAlignment="1"/>
    <xf numFmtId="169" fontId="53" fillId="24" borderId="10" xfId="20" applyNumberFormat="1" applyFont="1" applyFill="1" applyBorder="1" applyAlignment="1">
      <alignment horizontal="right" wrapText="1"/>
    </xf>
    <xf numFmtId="173" fontId="65" fillId="0" borderId="0" xfId="27" applyNumberFormat="1" applyFont="1" applyFill="1" applyBorder="1" applyAlignment="1"/>
    <xf numFmtId="173" fontId="66" fillId="0" borderId="0" xfId="27" applyNumberFormat="1" applyFont="1" applyFill="1" applyBorder="1" applyAlignment="1">
      <alignment horizontal="center" wrapText="1"/>
    </xf>
    <xf numFmtId="169" fontId="66" fillId="4" borderId="13" xfId="27" applyNumberFormat="1" applyFont="1" applyFill="1" applyBorder="1" applyAlignment="1">
      <alignment horizontal="center" vertical="center" wrapText="1"/>
    </xf>
    <xf numFmtId="170" fontId="1" fillId="0" borderId="13" xfId="27" applyNumberFormat="1" applyFont="1" applyFill="1" applyBorder="1" applyAlignment="1">
      <alignment vertical="center"/>
    </xf>
    <xf numFmtId="170" fontId="45" fillId="0" borderId="0" xfId="27" applyNumberFormat="1" applyFont="1" applyFill="1" applyBorder="1" applyAlignment="1"/>
    <xf numFmtId="169" fontId="56" fillId="0" borderId="0" xfId="27" applyNumberFormat="1" applyFont="1" applyFill="1" applyBorder="1" applyAlignment="1"/>
    <xf numFmtId="173" fontId="3" fillId="4" borderId="15" xfId="27" applyNumberFormat="1" applyFont="1" applyFill="1" applyBorder="1" applyAlignment="1"/>
    <xf numFmtId="173" fontId="3" fillId="16" borderId="24" xfId="27" applyNumberFormat="1" applyFont="1" applyFill="1" applyBorder="1" applyAlignment="1"/>
    <xf numFmtId="170" fontId="65" fillId="24" borderId="13" xfId="27" applyNumberFormat="1" applyFont="1" applyFill="1" applyBorder="1" applyAlignment="1">
      <alignment vertical="center"/>
    </xf>
    <xf numFmtId="173" fontId="65" fillId="24" borderId="0" xfId="27" applyNumberFormat="1" applyFont="1" applyFill="1" applyBorder="1" applyAlignment="1"/>
    <xf numFmtId="173" fontId="70" fillId="24" borderId="0" xfId="0" applyFont="1" applyFill="1">
      <alignment vertical="center"/>
    </xf>
    <xf numFmtId="173" fontId="71" fillId="0" borderId="0" xfId="27" applyNumberFormat="1" applyFont="1" applyAlignment="1">
      <alignment horizontal="center" vertical="center"/>
    </xf>
    <xf numFmtId="169" fontId="69" fillId="0" borderId="0" xfId="27" applyNumberFormat="1" applyFont="1" applyFill="1" applyBorder="1" applyAlignment="1">
      <alignment horizontal="center" vertical="center"/>
    </xf>
    <xf numFmtId="169" fontId="69" fillId="0" borderId="27" xfId="27" applyNumberFormat="1" applyFont="1" applyFill="1" applyBorder="1" applyAlignment="1">
      <alignment horizontal="center" vertical="center"/>
    </xf>
    <xf numFmtId="169" fontId="71" fillId="4" borderId="22" xfId="20" applyNumberFormat="1" applyFont="1" applyFill="1" applyBorder="1" applyAlignment="1">
      <alignment horizontal="center" wrapText="1"/>
    </xf>
    <xf numFmtId="169" fontId="71" fillId="4" borderId="16" xfId="20" applyNumberFormat="1" applyFont="1" applyFill="1" applyBorder="1" applyAlignment="1">
      <alignment horizontal="center" wrapText="1"/>
    </xf>
    <xf numFmtId="169" fontId="72" fillId="0" borderId="14" xfId="27" applyNumberFormat="1" applyFont="1" applyFill="1" applyBorder="1" applyAlignment="1">
      <alignment horizontal="center"/>
    </xf>
    <xf numFmtId="169" fontId="52" fillId="0" borderId="23" xfId="20" applyNumberFormat="1" applyFont="1" applyFill="1" applyBorder="1" applyAlignment="1">
      <alignment horizontal="center" wrapText="1"/>
    </xf>
    <xf numFmtId="173" fontId="72" fillId="0" borderId="28" xfId="27" applyNumberFormat="1" applyFont="1" applyFill="1" applyBorder="1" applyAlignment="1"/>
    <xf numFmtId="169" fontId="73" fillId="0" borderId="0" xfId="27" applyNumberFormat="1" applyFont="1" applyFill="1" applyBorder="1" applyAlignment="1">
      <alignment horizontal="center" vertical="center"/>
    </xf>
    <xf numFmtId="173" fontId="72" fillId="0" borderId="27" xfId="27" applyNumberFormat="1" applyFont="1" applyFill="1" applyBorder="1" applyAlignment="1"/>
    <xf numFmtId="169" fontId="71" fillId="16" borderId="23" xfId="20" applyNumberFormat="1" applyFont="1" applyFill="1" applyBorder="1" applyAlignment="1">
      <alignment horizontal="center" wrapText="1"/>
    </xf>
    <xf numFmtId="169" fontId="71" fillId="16" borderId="28" xfId="20" applyNumberFormat="1" applyFont="1" applyFill="1" applyBorder="1" applyAlignment="1">
      <alignment horizontal="center" wrapText="1"/>
    </xf>
    <xf numFmtId="169" fontId="74" fillId="24" borderId="10" xfId="27" applyNumberFormat="1" applyFont="1" applyFill="1" applyBorder="1" applyAlignment="1">
      <alignment horizontal="center"/>
    </xf>
    <xf numFmtId="169" fontId="74" fillId="28" borderId="30" xfId="27" applyNumberFormat="1" applyFont="1" applyFill="1" applyBorder="1" applyAlignment="1">
      <alignment horizontal="center"/>
    </xf>
    <xf numFmtId="173" fontId="75" fillId="0" borderId="25" xfId="27" applyNumberFormat="1" applyFont="1" applyFill="1" applyBorder="1" applyAlignment="1"/>
    <xf numFmtId="173" fontId="75" fillId="0" borderId="24" xfId="27" applyNumberFormat="1" applyFont="1" applyFill="1" applyBorder="1" applyAlignment="1"/>
    <xf numFmtId="169" fontId="26" fillId="4" borderId="22" xfId="20" applyNumberFormat="1" applyFont="1" applyFill="1" applyBorder="1" applyAlignment="1">
      <alignment horizontal="right" wrapText="1"/>
    </xf>
    <xf numFmtId="169" fontId="26" fillId="16" borderId="23" xfId="20" applyNumberFormat="1" applyFont="1" applyFill="1" applyBorder="1" applyAlignment="1">
      <alignment horizontal="right" wrapText="1"/>
    </xf>
    <xf numFmtId="179" fontId="25" fillId="0" borderId="23" xfId="27" quotePrefix="1" applyNumberFormat="1" applyFont="1" applyFill="1" applyBorder="1" applyAlignment="1">
      <alignment horizontal="center"/>
    </xf>
    <xf numFmtId="173" fontId="0" fillId="0" borderId="0" xfId="0" applyFill="1">
      <alignment vertical="center"/>
    </xf>
    <xf numFmtId="44" fontId="0" fillId="0" borderId="0" xfId="61" applyFont="1" applyFill="1" applyAlignment="1">
      <alignment vertical="center"/>
    </xf>
    <xf numFmtId="7" fontId="24" fillId="0" borderId="0" xfId="27" applyNumberFormat="1" applyFont="1" applyFill="1" applyBorder="1" applyAlignment="1">
      <alignment horizontal="center"/>
    </xf>
    <xf numFmtId="7" fontId="25" fillId="0" borderId="11" xfId="27" applyNumberFormat="1" applyFont="1" applyFill="1" applyBorder="1" applyAlignment="1">
      <alignment horizontal="center"/>
    </xf>
    <xf numFmtId="173" fontId="60" fillId="27" borderId="0" xfId="0" applyFont="1" applyFill="1" applyAlignment="1">
      <alignment horizontal="center" vertical="center"/>
    </xf>
    <xf numFmtId="44" fontId="71" fillId="0" borderId="20" xfId="61" applyFont="1" applyFill="1" applyBorder="1" applyAlignment="1">
      <alignment horizontal="center"/>
    </xf>
    <xf numFmtId="9" fontId="3" fillId="0" borderId="0" xfId="62" applyFont="1" applyFill="1" applyBorder="1" applyAlignment="1">
      <alignment horizontal="center" vertical="center"/>
    </xf>
    <xf numFmtId="173" fontId="3" fillId="0" borderId="0" xfId="27" applyNumberFormat="1" applyFont="1" applyFill="1" applyBorder="1" applyAlignment="1">
      <alignment horizontal="center" vertical="center"/>
    </xf>
    <xf numFmtId="173" fontId="3" fillId="0" borderId="0" xfId="27" applyNumberFormat="1" applyFont="1" applyFill="1" applyBorder="1" applyAlignment="1">
      <alignment horizontal="right" vertical="center"/>
    </xf>
    <xf numFmtId="173" fontId="36" fillId="0" borderId="0" xfId="27" applyNumberFormat="1" applyFont="1" applyFill="1" applyBorder="1" applyAlignment="1">
      <alignment vertical="center"/>
    </xf>
    <xf numFmtId="166" fontId="26" fillId="16" borderId="25" xfId="27" applyNumberFormat="1" applyFont="1" applyFill="1" applyBorder="1" applyAlignment="1">
      <alignment horizontal="center" wrapText="1"/>
    </xf>
    <xf numFmtId="166" fontId="26" fillId="0" borderId="25" xfId="27" applyNumberFormat="1" applyFont="1" applyFill="1" applyBorder="1" applyAlignment="1">
      <alignment horizontal="center" wrapText="1"/>
    </xf>
    <xf numFmtId="169" fontId="69" fillId="0" borderId="25" xfId="27" applyNumberFormat="1" applyFont="1" applyFill="1" applyBorder="1" applyAlignment="1">
      <alignment horizontal="center" vertical="center"/>
    </xf>
    <xf numFmtId="169" fontId="71" fillId="4" borderId="15" xfId="27" applyNumberFormat="1" applyFont="1" applyFill="1" applyBorder="1" applyAlignment="1">
      <alignment horizontal="center"/>
    </xf>
    <xf numFmtId="169" fontId="72" fillId="0" borderId="24" xfId="27" applyNumberFormat="1" applyFont="1" applyFill="1" applyBorder="1" applyAlignment="1">
      <alignment horizontal="center"/>
    </xf>
    <xf numFmtId="169" fontId="71" fillId="16" borderId="24" xfId="27" applyNumberFormat="1" applyFont="1" applyFill="1" applyBorder="1" applyAlignment="1">
      <alignment horizontal="center"/>
    </xf>
    <xf numFmtId="169" fontId="74" fillId="28" borderId="29" xfId="27" applyNumberFormat="1" applyFont="1" applyFill="1" applyBorder="1" applyAlignment="1">
      <alignment horizontal="center"/>
    </xf>
    <xf numFmtId="9" fontId="3" fillId="0" borderId="26" xfId="62" applyFont="1" applyFill="1" applyBorder="1" applyAlignment="1">
      <alignment horizontal="center" vertical="center"/>
    </xf>
    <xf numFmtId="166" fontId="3" fillId="0" borderId="26" xfId="27" applyNumberFormat="1" applyFont="1" applyFill="1" applyBorder="1" applyAlignment="1"/>
    <xf numFmtId="9" fontId="2" fillId="0" borderId="26" xfId="62" applyFont="1" applyFill="1" applyBorder="1" applyAlignment="1">
      <alignment horizontal="center" vertical="center"/>
    </xf>
    <xf numFmtId="9" fontId="22" fillId="4" borderId="13" xfId="62" applyFont="1" applyFill="1" applyBorder="1" applyAlignment="1">
      <alignment horizontal="center"/>
    </xf>
    <xf numFmtId="9" fontId="8" fillId="0" borderId="26" xfId="62" applyFont="1" applyFill="1" applyBorder="1" applyAlignment="1">
      <alignment horizontal="center" vertical="center"/>
    </xf>
    <xf numFmtId="9" fontId="22" fillId="16" borderId="14" xfId="62" applyFont="1" applyFill="1" applyBorder="1" applyAlignment="1">
      <alignment horizontal="center"/>
    </xf>
    <xf numFmtId="9" fontId="28" fillId="28" borderId="17" xfId="62" applyFont="1" applyFill="1" applyBorder="1" applyAlignment="1">
      <alignment horizontal="center"/>
    </xf>
    <xf numFmtId="166" fontId="26" fillId="16" borderId="26" xfId="27" applyNumberFormat="1" applyFont="1" applyFill="1" applyBorder="1" applyAlignment="1">
      <alignment horizontal="center" vertical="center" wrapText="1"/>
    </xf>
    <xf numFmtId="175" fontId="26" fillId="0" borderId="0" xfId="28" applyNumberFormat="1" applyFont="1" applyFill="1" applyBorder="1" applyAlignment="1"/>
    <xf numFmtId="175" fontId="3" fillId="0" borderId="0" xfId="28" applyNumberFormat="1" applyFont="1" applyFill="1" applyBorder="1" applyAlignment="1">
      <alignment horizontal="left" indent="2"/>
    </xf>
    <xf numFmtId="44" fontId="3" fillId="0" borderId="0" xfId="61" applyFont="1" applyFill="1" applyBorder="1" applyAlignment="1"/>
    <xf numFmtId="175" fontId="22" fillId="0" borderId="0" xfId="28" applyNumberFormat="1" applyFont="1" applyFill="1" applyBorder="1" applyAlignment="1"/>
    <xf numFmtId="44" fontId="22" fillId="0" borderId="0" xfId="61" applyFont="1" applyFill="1" applyBorder="1" applyAlignment="1">
      <alignment horizontal="center"/>
    </xf>
    <xf numFmtId="173" fontId="45" fillId="0" borderId="0" xfId="0" applyFont="1">
      <alignment vertical="center"/>
    </xf>
    <xf numFmtId="173" fontId="35" fillId="0" borderId="0" xfId="0" applyFont="1">
      <alignment vertical="center"/>
    </xf>
    <xf numFmtId="173" fontId="8" fillId="0" borderId="0" xfId="0" applyFont="1">
      <alignment vertical="center"/>
    </xf>
    <xf numFmtId="44" fontId="23" fillId="16" borderId="18" xfId="61" applyFont="1" applyFill="1" applyBorder="1" applyAlignment="1">
      <alignment vertical="center"/>
    </xf>
    <xf numFmtId="44" fontId="8" fillId="16" borderId="0" xfId="61" applyFont="1" applyFill="1" applyAlignment="1">
      <alignment vertical="center"/>
    </xf>
    <xf numFmtId="44" fontId="22" fillId="16" borderId="0" xfId="61" applyFont="1" applyFill="1" applyBorder="1" applyAlignment="1">
      <alignment horizontal="center"/>
    </xf>
    <xf numFmtId="181" fontId="53" fillId="24" borderId="0" xfId="0" applyNumberFormat="1" applyFont="1" applyFill="1" applyBorder="1" applyAlignment="1">
      <alignment horizontal="center" vertical="top"/>
    </xf>
    <xf numFmtId="173" fontId="37" fillId="0" borderId="0" xfId="0" applyNumberFormat="1" applyFont="1" applyBorder="1" applyAlignment="1">
      <alignment horizontal="center" vertical="center"/>
    </xf>
    <xf numFmtId="173" fontId="37" fillId="0" borderId="0" xfId="0" applyNumberFormat="1" applyFont="1" applyFill="1" applyBorder="1" applyAlignment="1">
      <alignment horizontal="center" vertical="top"/>
    </xf>
    <xf numFmtId="173" fontId="36" fillId="0" borderId="0" xfId="0" applyNumberFormat="1" applyFont="1" applyFill="1" applyBorder="1">
      <alignment vertical="center"/>
    </xf>
    <xf numFmtId="173" fontId="36" fillId="0" borderId="0" xfId="0" applyNumberFormat="1" applyFont="1" applyFill="1" applyBorder="1" applyAlignment="1">
      <alignment horizontal="center" vertical="center"/>
    </xf>
    <xf numFmtId="173" fontId="42" fillId="0" borderId="0" xfId="0" applyFont="1" applyFill="1" applyBorder="1">
      <alignment vertical="center"/>
    </xf>
    <xf numFmtId="173" fontId="36" fillId="0" borderId="0" xfId="0" applyNumberFormat="1" applyFont="1" applyFill="1" applyBorder="1" applyAlignment="1">
      <alignment horizontal="left" vertical="center"/>
    </xf>
    <xf numFmtId="164" fontId="36" fillId="0" borderId="0" xfId="0" applyNumberFormat="1" applyFont="1" applyFill="1" applyBorder="1" applyAlignment="1">
      <alignment horizontal="left" vertical="center"/>
    </xf>
    <xf numFmtId="171" fontId="36" fillId="0" borderId="0" xfId="0" applyNumberFormat="1" applyFont="1" applyFill="1" applyBorder="1" applyAlignment="1">
      <alignment horizontal="left" vertical="center"/>
    </xf>
    <xf numFmtId="171" fontId="36" fillId="0" borderId="0" xfId="0" applyNumberFormat="1" applyFont="1" applyFill="1" applyBorder="1" applyAlignment="1">
      <alignment horizontal="center" vertical="center"/>
    </xf>
    <xf numFmtId="4" fontId="36" fillId="0" borderId="0" xfId="0" applyNumberFormat="1" applyFont="1" applyFill="1" applyBorder="1" applyAlignment="1">
      <alignment horizontal="center" vertical="center"/>
    </xf>
    <xf numFmtId="171" fontId="37" fillId="0" borderId="0" xfId="0" applyNumberFormat="1" applyFont="1" applyFill="1" applyBorder="1" applyAlignment="1">
      <alignment horizontal="center" vertical="center"/>
    </xf>
    <xf numFmtId="173" fontId="37" fillId="0" borderId="0" xfId="0" applyNumberFormat="1" applyFont="1" applyFill="1" applyBorder="1" applyAlignment="1">
      <alignment horizontal="center" vertical="center"/>
    </xf>
    <xf numFmtId="164" fontId="37" fillId="0" borderId="0" xfId="0" applyNumberFormat="1" applyFont="1" applyFill="1" applyBorder="1" applyAlignment="1">
      <alignment horizontal="left" vertical="center"/>
    </xf>
    <xf numFmtId="171" fontId="37" fillId="0" borderId="0" xfId="0" applyNumberFormat="1" applyFont="1" applyFill="1" applyBorder="1" applyAlignment="1">
      <alignment horizontal="left" vertical="center"/>
    </xf>
    <xf numFmtId="4" fontId="37" fillId="0" borderId="0" xfId="0" applyNumberFormat="1" applyFont="1" applyFill="1" applyBorder="1" applyAlignment="1">
      <alignment horizontal="center" vertical="center"/>
    </xf>
    <xf numFmtId="173" fontId="76" fillId="0" borderId="0" xfId="0" applyNumberFormat="1" applyFont="1" applyFill="1" applyBorder="1" applyAlignment="1">
      <alignment horizontal="right" vertical="center"/>
    </xf>
    <xf numFmtId="173" fontId="36" fillId="0" borderId="0" xfId="0" applyNumberFormat="1" applyFont="1" applyBorder="1" applyAlignment="1">
      <alignment horizontal="center" vertical="center"/>
    </xf>
    <xf numFmtId="0" fontId="0" fillId="0" borderId="0" xfId="0" applyNumberFormat="1" applyFill="1" applyBorder="1" applyAlignment="1"/>
    <xf numFmtId="0" fontId="49" fillId="0" borderId="0" xfId="60" applyNumberFormat="1" applyFont="1" applyFill="1" applyBorder="1" applyAlignment="1">
      <alignment horizontal="right"/>
    </xf>
    <xf numFmtId="0" fontId="2" fillId="0" borderId="0" xfId="60" applyNumberFormat="1" applyFont="1" applyFill="1" applyBorder="1" applyAlignment="1">
      <alignment horizontal="right"/>
    </xf>
    <xf numFmtId="168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Alignment="1"/>
    <xf numFmtId="0" fontId="8" fillId="0" borderId="0" xfId="0" applyNumberFormat="1" applyFont="1" applyFill="1">
      <alignment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8" fillId="0" borderId="13" xfId="27" applyNumberFormat="1" applyFont="1" applyFill="1" applyBorder="1" applyAlignment="1">
      <alignment vertical="center"/>
    </xf>
    <xf numFmtId="0" fontId="32" fillId="24" borderId="13" xfId="0" applyNumberFormat="1" applyFont="1" applyFill="1" applyBorder="1" applyAlignment="1">
      <alignment horizontal="center"/>
    </xf>
    <xf numFmtId="0" fontId="1" fillId="0" borderId="13" xfId="0" quotePrefix="1" applyNumberFormat="1" applyFont="1" applyBorder="1" applyAlignment="1">
      <alignment horizontal="center" vertical="center"/>
    </xf>
    <xf numFmtId="169" fontId="36" fillId="0" borderId="0" xfId="0" applyNumberFormat="1" applyFont="1" applyFill="1" applyBorder="1" applyAlignment="1">
      <alignment horizontal="center" vertical="center"/>
    </xf>
    <xf numFmtId="169" fontId="37" fillId="0" borderId="0" xfId="0" applyNumberFormat="1" applyFont="1" applyFill="1" applyBorder="1" applyAlignment="1">
      <alignment horizontal="center" vertical="center"/>
    </xf>
    <xf numFmtId="169" fontId="37" fillId="8" borderId="0" xfId="0" applyNumberFormat="1" applyFont="1" applyFill="1" applyBorder="1" applyAlignment="1">
      <alignment horizontal="center" vertical="center"/>
    </xf>
    <xf numFmtId="7" fontId="45" fillId="0" borderId="0" xfId="0" applyNumberFormat="1" applyFont="1" applyFill="1" applyAlignment="1">
      <alignment horizontal="center" vertical="center"/>
    </xf>
    <xf numFmtId="7" fontId="1" fillId="0" borderId="0" xfId="61" applyNumberFormat="1" applyFont="1" applyAlignment="1">
      <alignment horizontal="center" vertical="center"/>
    </xf>
    <xf numFmtId="169" fontId="35" fillId="22" borderId="22" xfId="0" applyNumberFormat="1" applyFont="1" applyFill="1" applyBorder="1">
      <alignment vertical="center"/>
    </xf>
    <xf numFmtId="169" fontId="35" fillId="22" borderId="0" xfId="0" applyNumberFormat="1" applyFont="1" applyFill="1" applyBorder="1">
      <alignment vertical="center"/>
    </xf>
    <xf numFmtId="0" fontId="1" fillId="0" borderId="13" xfId="0" applyNumberFormat="1" applyFont="1" applyFill="1" applyBorder="1" applyAlignment="1">
      <alignment horizontal="center" vertical="center"/>
    </xf>
    <xf numFmtId="173" fontId="1" fillId="0" borderId="13" xfId="0" applyFont="1" applyFill="1" applyBorder="1">
      <alignment vertical="center"/>
    </xf>
    <xf numFmtId="175" fontId="84" fillId="0" borderId="0" xfId="28" applyNumberFormat="1" applyFont="1" applyFill="1" applyBorder="1" applyAlignment="1">
      <alignment horizontal="right"/>
    </xf>
    <xf numFmtId="175" fontId="84" fillId="0" borderId="0" xfId="28" applyNumberFormat="1" applyFont="1" applyFill="1" applyBorder="1" applyAlignment="1">
      <alignment horizontal="center"/>
    </xf>
    <xf numFmtId="175" fontId="84" fillId="0" borderId="0" xfId="28" applyNumberFormat="1" applyFont="1" applyFill="1" applyBorder="1" applyAlignment="1"/>
    <xf numFmtId="44" fontId="84" fillId="0" borderId="0" xfId="61" applyFont="1" applyFill="1" applyBorder="1" applyAlignment="1"/>
    <xf numFmtId="175" fontId="85" fillId="0" borderId="0" xfId="28" applyNumberFormat="1" applyFont="1" applyFill="1" applyBorder="1" applyAlignment="1">
      <alignment horizontal="center"/>
    </xf>
    <xf numFmtId="175" fontId="85" fillId="0" borderId="0" xfId="28" applyNumberFormat="1" applyFont="1" applyFill="1" applyBorder="1" applyAlignment="1"/>
    <xf numFmtId="175" fontId="85" fillId="0" borderId="0" xfId="28" applyNumberFormat="1" applyFont="1" applyFill="1" applyBorder="1" applyAlignment="1">
      <alignment horizontal="right"/>
    </xf>
    <xf numFmtId="44" fontId="86" fillId="0" borderId="0" xfId="61" applyFont="1" applyFill="1" applyBorder="1" applyAlignment="1"/>
    <xf numFmtId="175" fontId="87" fillId="0" borderId="0" xfId="28" applyNumberFormat="1" applyFont="1" applyFill="1" applyBorder="1" applyAlignment="1">
      <alignment horizontal="right"/>
    </xf>
    <xf numFmtId="175" fontId="22" fillId="0" borderId="0" xfId="28" applyNumberFormat="1" applyFont="1" applyFill="1" applyBorder="1" applyAlignment="1">
      <alignment horizontal="center"/>
    </xf>
    <xf numFmtId="44" fontId="87" fillId="0" borderId="0" xfId="61" applyFont="1" applyFill="1" applyBorder="1" applyAlignment="1"/>
    <xf numFmtId="173" fontId="37" fillId="0" borderId="0" xfId="0" applyNumberFormat="1" applyFont="1" applyBorder="1" applyAlignment="1">
      <alignment horizontal="center" vertical="top"/>
    </xf>
    <xf numFmtId="0" fontId="49" fillId="0" borderId="9" xfId="60" applyNumberFormat="1" applyFont="1" applyFill="1" applyBorder="1" applyAlignment="1">
      <alignment horizontal="center"/>
    </xf>
    <xf numFmtId="173" fontId="49" fillId="0" borderId="9" xfId="60" applyFont="1" applyFill="1" applyBorder="1" applyAlignment="1">
      <alignment horizontal="center"/>
    </xf>
    <xf numFmtId="178" fontId="88" fillId="0" borderId="9" xfId="66" applyNumberFormat="1" applyFont="1" applyFill="1" applyBorder="1" applyAlignment="1">
      <alignment horizontal="right"/>
    </xf>
    <xf numFmtId="173" fontId="2" fillId="0" borderId="9" xfId="63" applyFont="1" applyFill="1" applyBorder="1" applyAlignment="1"/>
    <xf numFmtId="173" fontId="77" fillId="0" borderId="0" xfId="63" applyFont="1" applyFill="1" applyBorder="1" applyAlignment="1"/>
    <xf numFmtId="0" fontId="2" fillId="0" borderId="9" xfId="65" applyNumberFormat="1" applyFont="1" applyFill="1" applyBorder="1" applyAlignment="1"/>
    <xf numFmtId="0" fontId="2" fillId="0" borderId="0" xfId="65" applyNumberFormat="1" applyFont="1" applyFill="1" applyBorder="1" applyAlignment="1"/>
    <xf numFmtId="0" fontId="2" fillId="0" borderId="0" xfId="65" applyNumberFormat="1" applyFont="1" applyFill="1" applyBorder="1" applyAlignment="1">
      <alignment horizontal="right"/>
    </xf>
    <xf numFmtId="173" fontId="2" fillId="0" borderId="9" xfId="60" applyFont="1" applyFill="1" applyBorder="1" applyAlignment="1"/>
    <xf numFmtId="2" fontId="2" fillId="0" borderId="0" xfId="65" applyNumberFormat="1" applyFont="1" applyFill="1" applyBorder="1" applyAlignment="1">
      <alignment horizontal="right"/>
    </xf>
    <xf numFmtId="0" fontId="88" fillId="0" borderId="9" xfId="66" applyFont="1" applyFill="1" applyBorder="1" applyAlignment="1"/>
    <xf numFmtId="0" fontId="88" fillId="0" borderId="0" xfId="66" applyFont="1" applyFill="1" applyBorder="1" applyAlignment="1"/>
    <xf numFmtId="14" fontId="2" fillId="0" borderId="0" xfId="65" applyNumberFormat="1" applyFont="1" applyFill="1" applyBorder="1" applyAlignment="1">
      <alignment horizontal="right"/>
    </xf>
    <xf numFmtId="173" fontId="49" fillId="0" borderId="9" xfId="60" applyFont="1" applyFill="1" applyBorder="1" applyAlignment="1"/>
    <xf numFmtId="173" fontId="2" fillId="0" borderId="0" xfId="65" applyFont="1" applyFill="1" applyBorder="1" applyAlignment="1"/>
    <xf numFmtId="173" fontId="2" fillId="0" borderId="0" xfId="63" applyFont="1" applyFill="1" applyBorder="1" applyAlignment="1"/>
    <xf numFmtId="173" fontId="2" fillId="0" borderId="0" xfId="64" applyFont="1" applyFill="1" applyBorder="1" applyAlignment="1">
      <alignment horizontal="right"/>
    </xf>
    <xf numFmtId="173" fontId="2" fillId="0" borderId="9" xfId="60" applyFont="1" applyFill="1" applyBorder="1" applyAlignment="1">
      <alignment horizontal="center"/>
    </xf>
    <xf numFmtId="173" fontId="1" fillId="0" borderId="0" xfId="0" applyFont="1" applyFill="1">
      <alignment vertical="center"/>
    </xf>
    <xf numFmtId="0" fontId="2" fillId="0" borderId="0" xfId="66" applyFont="1" applyFill="1" applyBorder="1" applyAlignment="1"/>
    <xf numFmtId="0" fontId="2" fillId="0" borderId="9" xfId="60" applyNumberFormat="1" applyFont="1" applyFill="1" applyBorder="1" applyAlignment="1">
      <alignment horizontal="center"/>
    </xf>
    <xf numFmtId="173" fontId="1" fillId="0" borderId="0" xfId="0" applyNumberFormat="1" applyFont="1" applyFill="1" applyBorder="1" applyAlignment="1"/>
    <xf numFmtId="0" fontId="2" fillId="0" borderId="0" xfId="63" applyNumberFormat="1" applyFont="1" applyFill="1" applyBorder="1" applyAlignment="1">
      <alignment horizontal="right"/>
    </xf>
    <xf numFmtId="2" fontId="2" fillId="0" borderId="0" xfId="63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/>
    <xf numFmtId="2" fontId="2" fillId="0" borderId="0" xfId="66" applyNumberFormat="1" applyFont="1" applyFill="1" applyBorder="1" applyAlignment="1">
      <alignment horizontal="right"/>
    </xf>
    <xf numFmtId="44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>
      <alignment horizontal="center"/>
    </xf>
    <xf numFmtId="173" fontId="1" fillId="0" borderId="0" xfId="0" applyNumberFormat="1" applyFont="1" applyFill="1" applyBorder="1" applyAlignment="1">
      <alignment horizontal="center"/>
    </xf>
    <xf numFmtId="173" fontId="36" fillId="0" borderId="0" xfId="0" applyFont="1" applyBorder="1">
      <alignment vertical="center"/>
    </xf>
    <xf numFmtId="173" fontId="36" fillId="0" borderId="0" xfId="0" applyFont="1" applyFill="1" applyBorder="1">
      <alignment vertical="center"/>
    </xf>
    <xf numFmtId="173" fontId="37" fillId="0" borderId="0" xfId="0" applyFont="1" applyFill="1" applyBorder="1">
      <alignment vertical="center"/>
    </xf>
    <xf numFmtId="173" fontId="23" fillId="0" borderId="0" xfId="0" applyNumberFormat="1" applyFont="1" applyFill="1" applyBorder="1" applyAlignment="1">
      <alignment horizontal="center" vertical="top"/>
    </xf>
    <xf numFmtId="173" fontId="8" fillId="0" borderId="0" xfId="0" applyNumberFormat="1" applyFont="1" applyFill="1" applyBorder="1" applyAlignment="1">
      <alignment horizontal="left" vertical="center"/>
    </xf>
    <xf numFmtId="164" fontId="8" fillId="0" borderId="0" xfId="0" applyNumberFormat="1" applyFont="1" applyFill="1" applyBorder="1" applyAlignment="1">
      <alignment horizontal="left" vertical="center"/>
    </xf>
    <xf numFmtId="171" fontId="8" fillId="0" borderId="0" xfId="0" applyNumberFormat="1" applyFont="1" applyFill="1" applyBorder="1" applyAlignment="1">
      <alignment horizontal="left" vertical="center"/>
    </xf>
    <xf numFmtId="164" fontId="8" fillId="30" borderId="0" xfId="0" applyNumberFormat="1" applyFont="1" applyFill="1" applyBorder="1" applyAlignment="1">
      <alignment horizontal="left" vertical="center"/>
    </xf>
    <xf numFmtId="4" fontId="8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171" fontId="1" fillId="0" borderId="0" xfId="0" applyNumberFormat="1" applyFont="1" applyFill="1" applyBorder="1" applyAlignment="1">
      <alignment vertical="center"/>
    </xf>
    <xf numFmtId="173" fontId="8" fillId="30" borderId="0" xfId="0" applyNumberFormat="1" applyFont="1" applyFill="1" applyBorder="1" applyAlignment="1">
      <alignment horizontal="left" vertical="center"/>
    </xf>
    <xf numFmtId="171" fontId="8" fillId="30" borderId="0" xfId="0" applyNumberFormat="1" applyFont="1" applyFill="1" applyBorder="1" applyAlignment="1">
      <alignment horizontal="left" vertical="center"/>
    </xf>
    <xf numFmtId="4" fontId="8" fillId="30" borderId="0" xfId="0" applyNumberFormat="1" applyFont="1" applyFill="1" applyBorder="1" applyAlignment="1">
      <alignment horizontal="center" vertical="center"/>
    </xf>
    <xf numFmtId="173" fontId="8" fillId="0" borderId="0" xfId="0" applyNumberFormat="1" applyFont="1" applyFill="1" applyBorder="1" applyAlignment="1">
      <alignment horizontal="justify" vertical="top"/>
    </xf>
    <xf numFmtId="176" fontId="8" fillId="0" borderId="0" xfId="0" applyNumberFormat="1" applyFont="1" applyFill="1" applyBorder="1" applyAlignment="1">
      <alignment horizontal="left" vertical="center"/>
    </xf>
    <xf numFmtId="173" fontId="23" fillId="0" borderId="16" xfId="0" applyNumberFormat="1" applyFont="1" applyFill="1" applyBorder="1" applyAlignment="1">
      <alignment horizontal="center" vertical="top"/>
    </xf>
    <xf numFmtId="173" fontId="1" fillId="0" borderId="16" xfId="0" applyNumberFormat="1" applyFont="1" applyFill="1" applyBorder="1" applyAlignment="1">
      <alignment vertical="center"/>
    </xf>
    <xf numFmtId="4" fontId="8" fillId="0" borderId="16" xfId="0" applyNumberFormat="1" applyFont="1" applyFill="1" applyBorder="1" applyAlignment="1">
      <alignment horizontal="center" vertical="center"/>
    </xf>
    <xf numFmtId="4" fontId="8" fillId="30" borderId="16" xfId="0" applyNumberFormat="1" applyFont="1" applyFill="1" applyBorder="1" applyAlignment="1">
      <alignment horizontal="center" vertical="center"/>
    </xf>
    <xf numFmtId="173" fontId="8" fillId="0" borderId="0" xfId="0" applyNumberFormat="1" applyFont="1" applyFill="1" applyBorder="1" applyAlignment="1">
      <alignment vertical="top"/>
    </xf>
    <xf numFmtId="173" fontId="8" fillId="0" borderId="23" xfId="0" applyNumberFormat="1" applyFont="1" applyFill="1" applyBorder="1" applyAlignment="1">
      <alignment vertical="top"/>
    </xf>
    <xf numFmtId="173" fontId="1" fillId="0" borderId="0" xfId="0" applyNumberFormat="1" applyFont="1" applyFill="1" applyAlignment="1">
      <alignment vertical="center"/>
    </xf>
    <xf numFmtId="173" fontId="23" fillId="0" borderId="0" xfId="0" applyNumberFormat="1" applyFont="1" applyFill="1" applyBorder="1" applyAlignment="1">
      <alignment horizontal="left" vertical="top"/>
    </xf>
    <xf numFmtId="173" fontId="8" fillId="29" borderId="0" xfId="0" applyNumberFormat="1" applyFont="1" applyFill="1" applyBorder="1" applyAlignment="1">
      <alignment horizontal="left" vertical="center"/>
    </xf>
    <xf numFmtId="164" fontId="8" fillId="29" borderId="0" xfId="0" applyNumberFormat="1" applyFont="1" applyFill="1" applyBorder="1" applyAlignment="1">
      <alignment horizontal="left" vertical="center"/>
    </xf>
    <xf numFmtId="171" fontId="8" fillId="29" borderId="0" xfId="0" applyNumberFormat="1" applyFont="1" applyFill="1" applyBorder="1" applyAlignment="1">
      <alignment horizontal="left" vertical="center"/>
    </xf>
    <xf numFmtId="4" fontId="8" fillId="29" borderId="0" xfId="0" applyNumberFormat="1" applyFont="1" applyFill="1" applyBorder="1" applyAlignment="1">
      <alignment horizontal="center" vertical="center"/>
    </xf>
    <xf numFmtId="4" fontId="8" fillId="29" borderId="16" xfId="0" applyNumberFormat="1" applyFont="1" applyFill="1" applyBorder="1" applyAlignment="1">
      <alignment horizontal="center" vertical="center"/>
    </xf>
    <xf numFmtId="173" fontId="1" fillId="0" borderId="0" xfId="0" applyNumberFormat="1" applyFont="1" applyFill="1" applyBorder="1" applyAlignment="1">
      <alignment vertical="center"/>
    </xf>
    <xf numFmtId="173" fontId="36" fillId="0" borderId="0" xfId="0" applyFont="1" applyFill="1" applyBorder="1" applyAlignment="1">
      <alignment horizontal="center" vertical="center"/>
    </xf>
    <xf numFmtId="173" fontId="35" fillId="0" borderId="0" xfId="0" applyNumberFormat="1" applyFont="1" applyFill="1" applyBorder="1" applyAlignment="1">
      <alignment vertical="center"/>
    </xf>
    <xf numFmtId="173" fontId="0" fillId="0" borderId="0" xfId="0" applyFont="1" applyFill="1" applyBorder="1">
      <alignment vertical="center"/>
    </xf>
    <xf numFmtId="170" fontId="8" fillId="0" borderId="0" xfId="27" applyNumberFormat="1" applyFont="1" applyFill="1" applyBorder="1" applyAlignment="1">
      <alignment vertical="center"/>
    </xf>
    <xf numFmtId="170" fontId="8" fillId="0" borderId="0" xfId="27" applyNumberFormat="1" applyFont="1" applyFill="1" applyBorder="1" applyAlignment="1">
      <alignment horizontal="center" vertical="center"/>
    </xf>
    <xf numFmtId="170" fontId="36" fillId="0" borderId="0" xfId="27" applyNumberFormat="1" applyFont="1" applyFill="1" applyBorder="1" applyAlignment="1">
      <alignment vertical="center"/>
    </xf>
    <xf numFmtId="169" fontId="56" fillId="0" borderId="0" xfId="27" applyNumberFormat="1" applyFont="1" applyFill="1" applyBorder="1" applyAlignment="1">
      <alignment vertical="center"/>
    </xf>
    <xf numFmtId="169" fontId="58" fillId="0" borderId="0" xfId="0" applyNumberFormat="1" applyFont="1" applyFill="1" applyBorder="1">
      <alignment vertical="center"/>
    </xf>
    <xf numFmtId="170" fontId="45" fillId="0" borderId="0" xfId="27" applyNumberFormat="1" applyFont="1" applyFill="1" applyBorder="1" applyAlignment="1">
      <alignment vertical="center"/>
    </xf>
    <xf numFmtId="170" fontId="67" fillId="0" borderId="0" xfId="0" applyNumberFormat="1" applyFont="1" applyFill="1" applyBorder="1">
      <alignment vertical="center"/>
    </xf>
    <xf numFmtId="173" fontId="8" fillId="0" borderId="0" xfId="27" applyNumberFormat="1" applyFont="1" applyFill="1" applyBorder="1" applyAlignment="1">
      <alignment vertical="center"/>
    </xf>
    <xf numFmtId="44" fontId="29" fillId="0" borderId="0" xfId="61" applyFont="1" applyFill="1" applyBorder="1" applyAlignment="1">
      <alignment horizontal="left" vertical="center"/>
    </xf>
    <xf numFmtId="173" fontId="8" fillId="0" borderId="0" xfId="27" applyNumberFormat="1" applyFont="1" applyFill="1" applyBorder="1" applyAlignment="1">
      <alignment horizontal="left" vertical="center"/>
    </xf>
    <xf numFmtId="174" fontId="8" fillId="0" borderId="0" xfId="27" applyNumberFormat="1" applyFont="1" applyFill="1" applyBorder="1" applyAlignment="1">
      <alignment horizontal="center" vertical="center"/>
    </xf>
    <xf numFmtId="173" fontId="0" fillId="0" borderId="0" xfId="0" applyFont="1" applyFill="1" applyBorder="1" applyAlignment="1">
      <alignment horizontal="center" vertical="center"/>
    </xf>
    <xf numFmtId="169" fontId="8" fillId="0" borderId="0" xfId="27" applyNumberFormat="1" applyFont="1" applyFill="1" applyBorder="1" applyAlignment="1">
      <alignment vertical="center"/>
    </xf>
    <xf numFmtId="169" fontId="23" fillId="0" borderId="0" xfId="27" applyNumberFormat="1" applyFont="1" applyFill="1" applyBorder="1" applyAlignment="1">
      <alignment horizontal="center" vertical="center"/>
    </xf>
    <xf numFmtId="44" fontId="29" fillId="0" borderId="0" xfId="61" applyFont="1" applyFill="1" applyBorder="1" applyAlignment="1">
      <alignment horizontal="left"/>
    </xf>
    <xf numFmtId="44" fontId="29" fillId="16" borderId="13" xfId="61" applyFont="1" applyFill="1" applyBorder="1" applyAlignment="1">
      <alignment horizontal="left"/>
    </xf>
    <xf numFmtId="44" fontId="68" fillId="16" borderId="13" xfId="61" applyFont="1" applyFill="1" applyBorder="1" applyAlignment="1">
      <alignment horizontal="center" vertical="center" wrapText="1"/>
    </xf>
    <xf numFmtId="173" fontId="23" fillId="22" borderId="13" xfId="27" applyNumberFormat="1" applyFont="1" applyFill="1" applyBorder="1" applyAlignment="1">
      <alignment horizontal="left" vertical="center" wrapText="1"/>
    </xf>
    <xf numFmtId="44" fontId="22" fillId="16" borderId="13" xfId="61" applyFont="1" applyFill="1" applyBorder="1" applyAlignment="1">
      <alignment horizontal="left" vertical="center" wrapText="1"/>
    </xf>
    <xf numFmtId="173" fontId="38" fillId="0" borderId="13" xfId="27" applyNumberFormat="1" applyFont="1" applyFill="1" applyBorder="1" applyAlignment="1">
      <alignment horizontal="left" vertical="center"/>
    </xf>
    <xf numFmtId="169" fontId="57" fillId="24" borderId="13" xfId="27" applyNumberFormat="1" applyFont="1" applyFill="1" applyBorder="1" applyAlignment="1">
      <alignment horizontal="right" vertical="center"/>
    </xf>
    <xf numFmtId="169" fontId="57" fillId="24" borderId="13" xfId="27" applyNumberFormat="1" applyFont="1" applyFill="1" applyBorder="1" applyAlignment="1">
      <alignment horizontal="center" vertical="center"/>
    </xf>
    <xf numFmtId="170" fontId="1" fillId="0" borderId="13" xfId="27" applyNumberFormat="1" applyFont="1" applyFill="1" applyBorder="1" applyAlignment="1">
      <alignment horizontal="center" vertical="center"/>
    </xf>
    <xf numFmtId="9" fontId="24" fillId="16" borderId="13" xfId="62" applyFont="1" applyFill="1" applyBorder="1" applyAlignment="1">
      <alignment horizontal="center" vertical="center"/>
    </xf>
    <xf numFmtId="173" fontId="29" fillId="0" borderId="0" xfId="27" applyNumberFormat="1" applyFont="1" applyFill="1" applyBorder="1" applyAlignment="1"/>
    <xf numFmtId="173" fontId="69" fillId="0" borderId="0" xfId="27" applyNumberFormat="1" applyFont="1" applyFill="1" applyBorder="1" applyAlignment="1"/>
    <xf numFmtId="0" fontId="2" fillId="0" borderId="9" xfId="69" applyFont="1" applyFill="1" applyBorder="1" applyAlignment="1"/>
    <xf numFmtId="0" fontId="2" fillId="0" borderId="9" xfId="69" applyFont="1" applyFill="1" applyBorder="1" applyAlignment="1">
      <alignment horizontal="right"/>
    </xf>
    <xf numFmtId="14" fontId="2" fillId="0" borderId="9" xfId="69" applyNumberFormat="1" applyFont="1" applyFill="1" applyBorder="1" applyAlignment="1">
      <alignment horizontal="right"/>
    </xf>
    <xf numFmtId="2" fontId="2" fillId="0" borderId="9" xfId="69" applyNumberFormat="1" applyFont="1" applyFill="1" applyBorder="1" applyAlignment="1">
      <alignment horizontal="right"/>
    </xf>
    <xf numFmtId="2" fontId="2" fillId="0" borderId="0" xfId="69" applyNumberFormat="1" applyFont="1" applyFill="1" applyBorder="1" applyAlignment="1">
      <alignment horizontal="right"/>
    </xf>
    <xf numFmtId="173" fontId="0" fillId="0" borderId="0" xfId="0" applyFill="1" applyAlignment="1">
      <alignment vertical="center"/>
    </xf>
    <xf numFmtId="0" fontId="42" fillId="0" borderId="9" xfId="69" applyFill="1" applyBorder="1" applyAlignment="1"/>
    <xf numFmtId="0" fontId="42" fillId="0" borderId="0" xfId="69" applyFill="1" applyBorder="1" applyAlignment="1"/>
    <xf numFmtId="0" fontId="2" fillId="0" borderId="0" xfId="0" applyNumberFormat="1" applyFont="1" applyFill="1" applyBorder="1" applyAlignment="1"/>
    <xf numFmtId="173" fontId="91" fillId="0" borderId="0" xfId="0" applyNumberFormat="1" applyFont="1" applyFill="1" applyBorder="1" applyAlignment="1"/>
    <xf numFmtId="0" fontId="88" fillId="0" borderId="0" xfId="66" applyFont="1" applyFill="1" applyBorder="1" applyAlignment="1">
      <alignment horizontal="right"/>
    </xf>
    <xf numFmtId="0" fontId="77" fillId="0" borderId="0" xfId="63" applyNumberFormat="1" applyFont="1" applyFill="1" applyBorder="1" applyAlignment="1">
      <alignment horizontal="right"/>
    </xf>
    <xf numFmtId="14" fontId="88" fillId="0" borderId="0" xfId="66" applyNumberFormat="1" applyFont="1" applyFill="1" applyBorder="1" applyAlignment="1">
      <alignment horizontal="right"/>
    </xf>
    <xf numFmtId="14" fontId="77" fillId="0" borderId="0" xfId="63" applyNumberFormat="1" applyFont="1" applyFill="1" applyBorder="1" applyAlignment="1">
      <alignment horizontal="right"/>
    </xf>
    <xf numFmtId="0" fontId="2" fillId="0" borderId="0" xfId="60" applyNumberFormat="1" applyFont="1" applyFill="1" applyBorder="1" applyAlignment="1"/>
    <xf numFmtId="0" fontId="2" fillId="0" borderId="0" xfId="63" applyNumberFormat="1" applyFont="1" applyFill="1" applyBorder="1" applyAlignment="1"/>
    <xf numFmtId="0" fontId="2" fillId="0" borderId="9" xfId="60" applyNumberFormat="1" applyFont="1" applyFill="1" applyBorder="1" applyAlignment="1"/>
    <xf numFmtId="0" fontId="2" fillId="0" borderId="9" xfId="63" applyNumberFormat="1" applyFont="1" applyFill="1" applyBorder="1" applyAlignment="1"/>
    <xf numFmtId="0" fontId="35" fillId="0" borderId="0" xfId="0" applyNumberFormat="1" applyFont="1" applyFill="1" applyBorder="1" applyAlignment="1"/>
    <xf numFmtId="0" fontId="1" fillId="32" borderId="0" xfId="0" applyNumberFormat="1" applyFont="1" applyFill="1" applyBorder="1" applyAlignment="1"/>
    <xf numFmtId="0" fontId="1" fillId="33" borderId="0" xfId="0" applyNumberFormat="1" applyFont="1" applyFill="1" applyBorder="1" applyAlignment="1"/>
    <xf numFmtId="0" fontId="0" fillId="0" borderId="0" xfId="0" applyNumberFormat="1">
      <alignment vertical="center"/>
    </xf>
    <xf numFmtId="0" fontId="1" fillId="31" borderId="0" xfId="0" applyNumberFormat="1" applyFont="1" applyFill="1" applyBorder="1" applyAlignment="1"/>
    <xf numFmtId="0" fontId="1" fillId="0" borderId="0" xfId="0" applyNumberFormat="1" applyFont="1" applyFill="1">
      <alignment vertical="center"/>
    </xf>
    <xf numFmtId="0" fontId="1" fillId="0" borderId="0" xfId="0" applyNumberFormat="1" applyFont="1">
      <alignment vertical="center"/>
    </xf>
    <xf numFmtId="44" fontId="1" fillId="0" borderId="0" xfId="0" applyNumberFormat="1" applyFont="1" applyFill="1">
      <alignment vertical="center"/>
    </xf>
    <xf numFmtId="44" fontId="1" fillId="0" borderId="0" xfId="0" applyNumberFormat="1" applyFont="1">
      <alignment vertical="center"/>
    </xf>
    <xf numFmtId="170" fontId="1" fillId="0" borderId="0" xfId="62" applyNumberFormat="1" applyFont="1" applyFill="1" applyAlignment="1">
      <alignment vertical="center"/>
    </xf>
    <xf numFmtId="170" fontId="1" fillId="0" borderId="0" xfId="62" applyNumberFormat="1" applyFont="1" applyAlignment="1">
      <alignment vertical="center"/>
    </xf>
    <xf numFmtId="0" fontId="77" fillId="0" borderId="0" xfId="60" applyNumberFormat="1" applyFont="1" applyFill="1" applyBorder="1" applyAlignment="1">
      <alignment horizontal="right"/>
    </xf>
    <xf numFmtId="14" fontId="77" fillId="0" borderId="0" xfId="60" applyNumberFormat="1" applyFont="1" applyFill="1" applyBorder="1" applyAlignment="1">
      <alignment horizontal="right"/>
    </xf>
    <xf numFmtId="173" fontId="77" fillId="0" borderId="0" xfId="60" applyFont="1" applyFill="1" applyBorder="1" applyAlignment="1"/>
    <xf numFmtId="173" fontId="0" fillId="0" borderId="0" xfId="0" applyFill="1" applyBorder="1" applyAlignment="1">
      <alignment vertical="center"/>
    </xf>
    <xf numFmtId="173" fontId="2" fillId="0" borderId="0" xfId="65" applyFont="1" applyFill="1" applyBorder="1" applyAlignment="1">
      <alignment horizontal="right"/>
    </xf>
    <xf numFmtId="173" fontId="77" fillId="0" borderId="0" xfId="60" applyFont="1" applyFill="1" applyBorder="1" applyAlignment="1">
      <alignment horizontal="right"/>
    </xf>
    <xf numFmtId="173" fontId="49" fillId="0" borderId="0" xfId="60" applyFont="1" applyFill="1" applyBorder="1" applyAlignment="1">
      <alignment horizontal="center"/>
    </xf>
    <xf numFmtId="173" fontId="0" fillId="0" borderId="0" xfId="0" applyBorder="1">
      <alignment vertical="center"/>
    </xf>
    <xf numFmtId="173" fontId="38" fillId="16" borderId="15" xfId="27" applyNumberFormat="1" applyFont="1" applyFill="1" applyBorder="1" applyAlignment="1">
      <alignment vertical="center"/>
    </xf>
    <xf numFmtId="44" fontId="36" fillId="0" borderId="0" xfId="0" applyNumberFormat="1" applyFont="1" applyFill="1" applyBorder="1">
      <alignment vertical="center"/>
    </xf>
    <xf numFmtId="173" fontId="6" fillId="0" borderId="0" xfId="0" applyFont="1" applyFill="1" applyBorder="1">
      <alignment vertical="center"/>
    </xf>
    <xf numFmtId="170" fontId="0" fillId="0" borderId="0" xfId="0" applyNumberFormat="1" applyFont="1" applyFill="1" applyBorder="1">
      <alignment vertical="center"/>
    </xf>
    <xf numFmtId="44" fontId="36" fillId="0" borderId="0" xfId="0" applyNumberFormat="1" applyFont="1" applyFill="1" applyBorder="1" applyAlignment="1">
      <alignment horizontal="center" vertical="center"/>
    </xf>
    <xf numFmtId="173" fontId="8" fillId="0" borderId="9" xfId="0" applyNumberFormat="1" applyFont="1" applyFill="1" applyBorder="1" applyAlignment="1">
      <alignment vertical="center"/>
    </xf>
    <xf numFmtId="44" fontId="61" fillId="24" borderId="13" xfId="27" applyNumberFormat="1" applyFont="1" applyFill="1" applyBorder="1" applyAlignment="1">
      <alignment horizontal="center" vertical="center" wrapText="1"/>
    </xf>
    <xf numFmtId="44" fontId="28" fillId="24" borderId="13" xfId="61" applyNumberFormat="1" applyFont="1" applyFill="1" applyBorder="1" applyAlignment="1">
      <alignment horizontal="left" vertical="center" wrapText="1"/>
    </xf>
    <xf numFmtId="44" fontId="23" fillId="16" borderId="13" xfId="27" applyNumberFormat="1" applyFont="1" applyFill="1" applyBorder="1" applyAlignment="1">
      <alignment horizontal="center" vertical="center" wrapText="1"/>
    </xf>
    <xf numFmtId="44" fontId="23" fillId="16" borderId="13" xfId="20" applyNumberFormat="1" applyFont="1" applyFill="1" applyBorder="1" applyAlignment="1">
      <alignment horizontal="center" vertical="center" wrapText="1"/>
    </xf>
    <xf numFmtId="44" fontId="23" fillId="16" borderId="13" xfId="61" applyNumberFormat="1" applyFont="1" applyFill="1" applyBorder="1" applyAlignment="1">
      <alignment horizontal="left" vertical="center" wrapText="1"/>
    </xf>
    <xf numFmtId="44" fontId="8" fillId="0" borderId="13" xfId="27" applyNumberFormat="1" applyFont="1" applyFill="1" applyBorder="1" applyAlignment="1"/>
    <xf numFmtId="44" fontId="23" fillId="0" borderId="13" xfId="27" applyNumberFormat="1" applyFont="1" applyFill="1" applyBorder="1" applyAlignment="1">
      <alignment horizontal="center" vertical="center" wrapText="1"/>
    </xf>
    <xf numFmtId="44" fontId="23" fillId="0" borderId="13" xfId="61" applyNumberFormat="1" applyFont="1" applyFill="1" applyBorder="1" applyAlignment="1">
      <alignment horizontal="left" vertical="center" wrapText="1"/>
    </xf>
    <xf numFmtId="44" fontId="8" fillId="0" borderId="13" xfId="27" applyNumberFormat="1" applyFont="1" applyFill="1" applyBorder="1" applyAlignment="1">
      <alignment vertical="center"/>
    </xf>
    <xf numFmtId="44" fontId="8" fillId="0" borderId="13" xfId="27" applyNumberFormat="1" applyFont="1" applyFill="1" applyBorder="1" applyAlignment="1">
      <alignment horizontal="center" vertical="center"/>
    </xf>
    <xf numFmtId="44" fontId="23" fillId="0" borderId="13" xfId="20" applyNumberFormat="1" applyFont="1" applyFill="1" applyBorder="1" applyAlignment="1">
      <alignment horizontal="center" vertical="center" wrapText="1"/>
    </xf>
    <xf numFmtId="44" fontId="8" fillId="0" borderId="13" xfId="61" applyNumberFormat="1" applyFont="1" applyFill="1" applyBorder="1" applyAlignment="1">
      <alignment horizontal="left" vertical="center"/>
    </xf>
    <xf numFmtId="44" fontId="46" fillId="24" borderId="13" xfId="27" applyNumberFormat="1" applyFont="1" applyFill="1" applyBorder="1" applyAlignment="1">
      <alignment horizontal="center" vertical="center" wrapText="1"/>
    </xf>
    <xf numFmtId="44" fontId="46" fillId="24" borderId="13" xfId="61" applyNumberFormat="1" applyFont="1" applyFill="1" applyBorder="1" applyAlignment="1">
      <alignment horizontal="left" vertical="center" wrapText="1"/>
    </xf>
    <xf numFmtId="44" fontId="31" fillId="0" borderId="0" xfId="28" applyNumberFormat="1" applyFont="1" applyFill="1" applyBorder="1" applyAlignment="1">
      <alignment horizontal="right" vertical="center" wrapText="1"/>
    </xf>
    <xf numFmtId="44" fontId="53" fillId="24" borderId="13" xfId="27" applyNumberFormat="1" applyFont="1" applyFill="1" applyBorder="1" applyAlignment="1">
      <alignment horizontal="center" vertical="center"/>
    </xf>
    <xf numFmtId="44" fontId="53" fillId="24" borderId="13" xfId="61" applyNumberFormat="1" applyFont="1" applyFill="1" applyBorder="1" applyAlignment="1">
      <alignment horizontal="left" vertical="center"/>
    </xf>
    <xf numFmtId="44" fontId="37" fillId="16" borderId="13" xfId="27" applyNumberFormat="1" applyFont="1" applyFill="1" applyBorder="1" applyAlignment="1">
      <alignment horizontal="center" vertical="center"/>
    </xf>
    <xf numFmtId="44" fontId="37" fillId="16" borderId="13" xfId="61" applyNumberFormat="1" applyFont="1" applyFill="1" applyBorder="1" applyAlignment="1">
      <alignment horizontal="left" vertical="center"/>
    </xf>
    <xf numFmtId="44" fontId="23" fillId="0" borderId="13" xfId="27" applyNumberFormat="1" applyFont="1" applyFill="1" applyBorder="1" applyAlignment="1">
      <alignment horizontal="center" vertical="center"/>
    </xf>
    <xf numFmtId="44" fontId="8" fillId="0" borderId="13" xfId="61" applyNumberFormat="1" applyFont="1" applyFill="1" applyBorder="1" applyAlignment="1">
      <alignment vertical="center"/>
    </xf>
    <xf numFmtId="44" fontId="8" fillId="0" borderId="13" xfId="61" applyNumberFormat="1" applyFont="1" applyFill="1" applyBorder="1" applyAlignment="1">
      <alignment horizontal="left"/>
    </xf>
    <xf numFmtId="10" fontId="8" fillId="0" borderId="13" xfId="27" applyNumberFormat="1" applyFont="1" applyFill="1" applyBorder="1" applyAlignment="1">
      <alignment horizontal="center" vertical="center"/>
    </xf>
    <xf numFmtId="173" fontId="96" fillId="16" borderId="0" xfId="27" applyNumberFormat="1" applyFont="1" applyFill="1" applyBorder="1" applyAlignment="1">
      <alignment vertical="center"/>
    </xf>
    <xf numFmtId="173" fontId="2" fillId="0" borderId="0" xfId="27" applyNumberFormat="1" applyFont="1" applyFill="1" applyBorder="1" applyAlignment="1">
      <alignment vertical="center"/>
    </xf>
    <xf numFmtId="173" fontId="2" fillId="0" borderId="0" xfId="19" applyNumberFormat="1" applyFont="1" applyFill="1" applyBorder="1" applyAlignment="1">
      <alignment horizontal="center" vertical="center"/>
    </xf>
    <xf numFmtId="173" fontId="2" fillId="0" borderId="0" xfId="27" applyNumberFormat="1" applyFont="1" applyFill="1" applyBorder="1" applyAlignment="1"/>
    <xf numFmtId="178" fontId="2" fillId="0" borderId="0" xfId="66" applyNumberFormat="1" applyFont="1" applyFill="1" applyBorder="1" applyAlignment="1">
      <alignment horizontal="right"/>
    </xf>
    <xf numFmtId="0" fontId="49" fillId="0" borderId="0" xfId="60" applyNumberFormat="1" applyFont="1" applyFill="1" applyBorder="1" applyAlignment="1">
      <alignment horizontal="center"/>
    </xf>
    <xf numFmtId="178" fontId="88" fillId="0" borderId="0" xfId="66" applyNumberFormat="1" applyFont="1" applyFill="1" applyBorder="1" applyAlignment="1">
      <alignment horizontal="right"/>
    </xf>
    <xf numFmtId="0" fontId="2" fillId="0" borderId="0" xfId="60" applyNumberFormat="1" applyFont="1" applyFill="1" applyBorder="1" applyAlignment="1">
      <alignment horizontal="center"/>
    </xf>
    <xf numFmtId="173" fontId="2" fillId="0" borderId="0" xfId="60" applyFont="1" applyFill="1" applyBorder="1" applyAlignment="1">
      <alignment horizontal="center"/>
    </xf>
    <xf numFmtId="0" fontId="0" fillId="0" borderId="0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10" fontId="23" fillId="0" borderId="13" xfId="27" applyNumberFormat="1" applyFont="1" applyFill="1" applyBorder="1" applyAlignment="1">
      <alignment horizontal="left" vertical="center"/>
    </xf>
    <xf numFmtId="10" fontId="8" fillId="0" borderId="13" xfId="27" applyNumberFormat="1" applyFont="1" applyFill="1" applyBorder="1" applyAlignment="1">
      <alignment vertical="center"/>
    </xf>
    <xf numFmtId="10" fontId="8" fillId="0" borderId="0" xfId="27" applyNumberFormat="1" applyFont="1" applyFill="1" applyBorder="1" applyAlignment="1"/>
    <xf numFmtId="10" fontId="0" fillId="0" borderId="0" xfId="0" applyNumberFormat="1" applyFont="1" applyFill="1">
      <alignment vertical="center"/>
    </xf>
    <xf numFmtId="173" fontId="27" fillId="0" borderId="0" xfId="27" applyNumberFormat="1" applyFont="1" applyFill="1" applyBorder="1" applyAlignment="1">
      <alignment vertical="center"/>
    </xf>
    <xf numFmtId="173" fontId="36" fillId="0" borderId="0" xfId="60" applyFont="1" applyFill="1" applyBorder="1" applyAlignment="1"/>
    <xf numFmtId="173" fontId="36" fillId="0" borderId="0" xfId="63" applyFont="1" applyFill="1" applyBorder="1" applyAlignment="1"/>
    <xf numFmtId="173" fontId="36" fillId="0" borderId="0" xfId="65" applyFont="1" applyFill="1" applyBorder="1" applyAlignment="1"/>
    <xf numFmtId="0" fontId="36" fillId="0" borderId="0" xfId="65" applyNumberFormat="1" applyFont="1" applyFill="1" applyBorder="1" applyAlignment="1"/>
    <xf numFmtId="0" fontId="36" fillId="0" borderId="0" xfId="66" applyFont="1" applyFill="1" applyBorder="1" applyAlignment="1"/>
    <xf numFmtId="44" fontId="2" fillId="0" borderId="0" xfId="66" applyNumberFormat="1" applyFont="1" applyFill="1" applyBorder="1" applyAlignment="1">
      <alignment horizontal="right"/>
    </xf>
    <xf numFmtId="44" fontId="1" fillId="0" borderId="0" xfId="0" applyNumberFormat="1" applyFont="1" applyFill="1" applyBorder="1" applyAlignment="1">
      <alignment horizontal="center"/>
    </xf>
    <xf numFmtId="173" fontId="39" fillId="0" borderId="0" xfId="0" applyNumberFormat="1" applyFont="1" applyFill="1" applyBorder="1" applyAlignment="1">
      <alignment horizontal="center"/>
    </xf>
    <xf numFmtId="44" fontId="88" fillId="0" borderId="0" xfId="66" applyNumberFormat="1" applyFont="1" applyFill="1" applyBorder="1" applyAlignment="1">
      <alignment horizontal="right"/>
    </xf>
    <xf numFmtId="44" fontId="2" fillId="0" borderId="9" xfId="66" applyNumberFormat="1" applyFont="1" applyFill="1" applyBorder="1" applyAlignment="1">
      <alignment horizontal="right"/>
    </xf>
    <xf numFmtId="0" fontId="45" fillId="0" borderId="0" xfId="0" applyNumberFormat="1" applyFont="1">
      <alignment vertical="center"/>
    </xf>
    <xf numFmtId="0" fontId="35" fillId="0" borderId="0" xfId="0" applyNumberFormat="1" applyFont="1">
      <alignment vertical="center"/>
    </xf>
    <xf numFmtId="0" fontId="97" fillId="0" borderId="0" xfId="27" applyNumberFormat="1" applyFont="1" applyFill="1" applyBorder="1" applyAlignment="1"/>
    <xf numFmtId="44" fontId="1" fillId="32" borderId="0" xfId="0" applyNumberFormat="1" applyFont="1" applyFill="1" applyBorder="1" applyAlignment="1"/>
    <xf numFmtId="44" fontId="1" fillId="33" borderId="0" xfId="0" applyNumberFormat="1" applyFont="1" applyFill="1" applyBorder="1" applyAlignment="1"/>
    <xf numFmtId="0" fontId="35" fillId="0" borderId="0" xfId="0" applyNumberFormat="1" applyFont="1" applyFill="1" applyBorder="1" applyAlignment="1">
      <alignment horizontal="center"/>
    </xf>
    <xf numFmtId="44" fontId="35" fillId="0" borderId="0" xfId="0" applyNumberFormat="1" applyFont="1" applyFill="1" applyBorder="1" applyAlignment="1">
      <alignment horizontal="center"/>
    </xf>
    <xf numFmtId="44" fontId="35" fillId="0" borderId="0" xfId="0" applyNumberFormat="1" applyFont="1" applyFill="1" applyAlignment="1">
      <alignment horizontal="center" vertical="center"/>
    </xf>
    <xf numFmtId="170" fontId="35" fillId="0" borderId="0" xfId="62" applyNumberFormat="1" applyFont="1" applyFill="1" applyAlignment="1">
      <alignment horizontal="center" vertical="center"/>
    </xf>
    <xf numFmtId="0" fontId="35" fillId="0" borderId="0" xfId="0" applyNumberFormat="1" applyFont="1" applyFill="1" applyAlignment="1">
      <alignment horizontal="center" vertical="center"/>
    </xf>
    <xf numFmtId="44" fontId="35" fillId="0" borderId="0" xfId="0" applyNumberFormat="1" applyFont="1">
      <alignment vertical="center"/>
    </xf>
    <xf numFmtId="44" fontId="1" fillId="31" borderId="0" xfId="0" applyNumberFormat="1" applyFont="1" applyFill="1" applyBorder="1" applyAlignment="1"/>
    <xf numFmtId="44" fontId="30" fillId="0" borderId="9" xfId="66" applyNumberFormat="1" applyFont="1" applyFill="1" applyBorder="1" applyAlignment="1">
      <alignment horizontal="right"/>
    </xf>
    <xf numFmtId="44" fontId="32" fillId="24" borderId="14" xfId="27" applyNumberFormat="1" applyFont="1" applyFill="1" applyBorder="1" applyAlignment="1">
      <alignment horizontal="left" vertical="center" wrapText="1"/>
    </xf>
    <xf numFmtId="44" fontId="32" fillId="24" borderId="14" xfId="27" applyNumberFormat="1" applyFont="1" applyFill="1" applyBorder="1" applyAlignment="1">
      <alignment horizontal="center" vertical="center" wrapText="1"/>
    </xf>
    <xf numFmtId="44" fontId="24" fillId="0" borderId="13" xfId="27" applyNumberFormat="1" applyFont="1" applyFill="1" applyBorder="1" applyAlignment="1">
      <alignment horizontal="center"/>
    </xf>
    <xf numFmtId="44" fontId="1" fillId="0" borderId="13" xfId="27" applyNumberFormat="1" applyFont="1" applyFill="1" applyBorder="1" applyAlignment="1">
      <alignment horizontal="center" vertical="center"/>
    </xf>
    <xf numFmtId="44" fontId="24" fillId="0" borderId="17" xfId="27" applyNumberFormat="1" applyFont="1" applyFill="1" applyBorder="1" applyAlignment="1">
      <alignment horizontal="center"/>
    </xf>
    <xf numFmtId="44" fontId="32" fillId="24" borderId="13" xfId="27" applyNumberFormat="1" applyFont="1" applyFill="1" applyBorder="1" applyAlignment="1">
      <alignment horizontal="center" vertical="center"/>
    </xf>
    <xf numFmtId="44" fontId="24" fillId="0" borderId="13" xfId="27" applyNumberFormat="1" applyFont="1" applyFill="1" applyBorder="1" applyAlignment="1">
      <alignment horizontal="left"/>
    </xf>
    <xf numFmtId="175" fontId="3" fillId="0" borderId="0" xfId="28" applyNumberFormat="1" applyFont="1" applyFill="1" applyBorder="1" applyAlignment="1">
      <alignment horizontal="right"/>
    </xf>
    <xf numFmtId="183" fontId="99" fillId="0" borderId="0" xfId="0" applyNumberFormat="1" applyFont="1" applyFill="1" applyBorder="1" applyAlignment="1">
      <alignment vertical="center"/>
    </xf>
    <xf numFmtId="44" fontId="8" fillId="0" borderId="0" xfId="0" applyNumberFormat="1" applyFont="1" applyFill="1" applyBorder="1" applyAlignment="1">
      <alignment vertical="center"/>
    </xf>
    <xf numFmtId="44" fontId="38" fillId="0" borderId="31" xfId="61" applyFont="1" applyFill="1" applyBorder="1" applyAlignment="1">
      <alignment horizontal="left" vertical="center"/>
    </xf>
    <xf numFmtId="173" fontId="38" fillId="0" borderId="32" xfId="0" applyNumberFormat="1" applyFont="1" applyFill="1" applyBorder="1" applyAlignment="1">
      <alignment vertical="center"/>
    </xf>
    <xf numFmtId="44" fontId="8" fillId="0" borderId="33" xfId="61" applyFont="1" applyFill="1" applyBorder="1" applyAlignment="1">
      <alignment horizontal="left" vertical="center"/>
    </xf>
    <xf numFmtId="44" fontId="8" fillId="0" borderId="34" xfId="61" applyFont="1" applyFill="1" applyBorder="1" applyAlignment="1">
      <alignment vertical="center"/>
    </xf>
    <xf numFmtId="173" fontId="8" fillId="0" borderId="34" xfId="0" applyNumberFormat="1" applyFont="1" applyFill="1" applyBorder="1" applyAlignment="1">
      <alignment vertical="center"/>
    </xf>
    <xf numFmtId="44" fontId="8" fillId="0" borderId="35" xfId="61" applyFont="1" applyFill="1" applyBorder="1" applyAlignment="1">
      <alignment horizontal="left" vertical="center"/>
    </xf>
    <xf numFmtId="44" fontId="8" fillId="0" borderId="36" xfId="61" applyFont="1" applyFill="1" applyBorder="1" applyAlignment="1">
      <alignment vertical="center"/>
    </xf>
    <xf numFmtId="173" fontId="100" fillId="0" borderId="0" xfId="0" applyNumberFormat="1" applyFont="1" applyFill="1" applyBorder="1" applyAlignment="1">
      <alignment vertical="center"/>
    </xf>
    <xf numFmtId="173" fontId="101" fillId="0" borderId="0" xfId="27" applyNumberFormat="1" applyFont="1" applyFill="1" applyBorder="1" applyAlignment="1">
      <alignment vertical="center"/>
    </xf>
    <xf numFmtId="173" fontId="52" fillId="0" borderId="13" xfId="27" applyNumberFormat="1" applyFont="1" applyFill="1" applyBorder="1" applyAlignment="1">
      <alignment horizontal="center" vertical="center" wrapText="1"/>
    </xf>
    <xf numFmtId="184" fontId="37" fillId="16" borderId="13" xfId="27" applyNumberFormat="1" applyFont="1" applyFill="1" applyBorder="1" applyAlignment="1">
      <alignment horizontal="center" vertical="center"/>
    </xf>
    <xf numFmtId="173" fontId="35" fillId="0" borderId="0" xfId="0" applyNumberFormat="1" applyFont="1" applyFill="1" applyBorder="1" applyAlignment="1"/>
    <xf numFmtId="7" fontId="1" fillId="0" borderId="0" xfId="0" applyNumberFormat="1" applyFont="1" applyAlignment="1">
      <alignment horizontal="center" vertical="center"/>
    </xf>
    <xf numFmtId="7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>
      <alignment vertical="center"/>
    </xf>
    <xf numFmtId="0" fontId="39" fillId="0" borderId="0" xfId="0" applyNumberFormat="1" applyFont="1" applyFill="1" applyBorder="1" applyAlignment="1"/>
    <xf numFmtId="0" fontId="39" fillId="0" borderId="0" xfId="0" applyNumberFormat="1" applyFont="1" applyFill="1" applyBorder="1" applyAlignment="1">
      <alignment horizontal="left"/>
    </xf>
    <xf numFmtId="7" fontId="1" fillId="0" borderId="0" xfId="61" applyNumberFormat="1" applyFont="1" applyAlignment="1">
      <alignment vertical="center"/>
    </xf>
    <xf numFmtId="173" fontId="39" fillId="0" borderId="15" xfId="27" applyNumberFormat="1" applyFont="1" applyFill="1" applyBorder="1" applyAlignment="1">
      <alignment vertical="center"/>
    </xf>
    <xf numFmtId="9" fontId="25" fillId="0" borderId="13" xfId="62" applyFont="1" applyFill="1" applyBorder="1" applyAlignment="1">
      <alignment horizontal="center"/>
    </xf>
    <xf numFmtId="9" fontId="25" fillId="25" borderId="13" xfId="62" applyFont="1" applyFill="1" applyBorder="1" applyAlignment="1">
      <alignment horizontal="center"/>
    </xf>
    <xf numFmtId="44" fontId="35" fillId="0" borderId="13" xfId="27" applyNumberFormat="1" applyFont="1" applyFill="1" applyBorder="1" applyAlignment="1">
      <alignment horizontal="left" vertical="center" wrapText="1"/>
    </xf>
    <xf numFmtId="44" fontId="24" fillId="0" borderId="17" xfId="27" applyNumberFormat="1" applyFont="1" applyFill="1" applyBorder="1" applyAlignment="1">
      <alignment horizontal="left"/>
    </xf>
    <xf numFmtId="44" fontId="32" fillId="24" borderId="13" xfId="27" applyNumberFormat="1" applyFont="1" applyFill="1" applyBorder="1" applyAlignment="1">
      <alignment horizontal="left" vertical="center"/>
    </xf>
    <xf numFmtId="9" fontId="25" fillId="0" borderId="13" xfId="62" applyFont="1" applyFill="1" applyBorder="1" applyAlignment="1">
      <alignment horizontal="left"/>
    </xf>
    <xf numFmtId="10" fontId="47" fillId="0" borderId="13" xfId="27" applyNumberFormat="1" applyFont="1" applyFill="1" applyBorder="1" applyAlignment="1">
      <alignment horizontal="center" wrapText="1"/>
    </xf>
    <xf numFmtId="9" fontId="1" fillId="0" borderId="13" xfId="62" applyFont="1" applyFill="1" applyBorder="1" applyAlignment="1">
      <alignment horizontal="center"/>
    </xf>
    <xf numFmtId="173" fontId="34" fillId="24" borderId="13" xfId="27" applyNumberFormat="1" applyFont="1" applyFill="1" applyBorder="1" applyAlignment="1">
      <alignment horizontal="center"/>
    </xf>
    <xf numFmtId="173" fontId="24" fillId="0" borderId="13" xfId="27" applyNumberFormat="1" applyFont="1" applyFill="1" applyBorder="1" applyAlignment="1">
      <alignment horizontal="center"/>
    </xf>
    <xf numFmtId="173" fontId="24" fillId="0" borderId="13" xfId="27" applyNumberFormat="1" applyFont="1" applyFill="1" applyBorder="1" applyAlignment="1">
      <alignment horizontal="center" wrapText="1"/>
    </xf>
    <xf numFmtId="9" fontId="34" fillId="24" borderId="13" xfId="62" applyFont="1" applyFill="1" applyBorder="1" applyAlignment="1">
      <alignment horizontal="center"/>
    </xf>
    <xf numFmtId="44" fontId="1" fillId="0" borderId="0" xfId="61" applyFont="1" applyFill="1" applyAlignment="1">
      <alignment vertical="center"/>
    </xf>
    <xf numFmtId="173" fontId="26" fillId="0" borderId="0" xfId="27" applyNumberFormat="1" applyFont="1" applyFill="1"/>
    <xf numFmtId="173" fontId="24" fillId="0" borderId="0" xfId="27" applyNumberFormat="1" applyFont="1" applyFill="1"/>
    <xf numFmtId="173" fontId="3" fillId="0" borderId="0" xfId="27" applyNumberFormat="1" applyFont="1" applyFill="1"/>
    <xf numFmtId="173" fontId="24" fillId="0" borderId="0" xfId="27" applyNumberFormat="1" applyFont="1" applyFill="1" applyAlignment="1">
      <alignment horizontal="left" indent="1"/>
    </xf>
    <xf numFmtId="173" fontId="24" fillId="0" borderId="0" xfId="27" applyNumberFormat="1" applyFont="1" applyFill="1" applyAlignment="1">
      <alignment horizontal="left" indent="2"/>
    </xf>
    <xf numFmtId="173" fontId="22" fillId="0" borderId="0" xfId="27" applyNumberFormat="1" applyFont="1" applyFill="1"/>
    <xf numFmtId="173" fontId="25" fillId="0" borderId="0" xfId="27" applyNumberFormat="1" applyFont="1" applyFill="1" applyAlignment="1">
      <alignment horizontal="left" indent="1"/>
    </xf>
    <xf numFmtId="169" fontId="25" fillId="0" borderId="11" xfId="27" applyNumberFormat="1" applyFont="1" applyFill="1" applyBorder="1" applyAlignment="1">
      <alignment horizontal="center"/>
    </xf>
    <xf numFmtId="44" fontId="35" fillId="0" borderId="0" xfId="61" applyFont="1" applyFill="1" applyAlignment="1">
      <alignment vertical="center"/>
    </xf>
    <xf numFmtId="173" fontId="35" fillId="0" borderId="0" xfId="0" applyFont="1" applyFill="1">
      <alignment vertical="center"/>
    </xf>
    <xf numFmtId="169" fontId="25" fillId="0" borderId="12" xfId="27" applyNumberFormat="1" applyFont="1" applyFill="1" applyBorder="1" applyAlignment="1">
      <alignment horizontal="center"/>
    </xf>
    <xf numFmtId="169" fontId="24" fillId="0" borderId="0" xfId="61" applyNumberFormat="1" applyFont="1" applyFill="1" applyAlignment="1">
      <alignment horizontal="center"/>
    </xf>
    <xf numFmtId="169" fontId="1" fillId="0" borderId="0" xfId="61" applyNumberFormat="1" applyFont="1" applyFill="1" applyAlignment="1">
      <alignment horizontal="center" vertical="center"/>
    </xf>
    <xf numFmtId="169" fontId="1" fillId="0" borderId="0" xfId="61" applyNumberFormat="1" applyFont="1" applyFill="1" applyAlignment="1">
      <alignment vertical="center"/>
    </xf>
    <xf numFmtId="167" fontId="24" fillId="0" borderId="0" xfId="27" applyNumberFormat="1" applyFont="1" applyFill="1" applyBorder="1" applyAlignment="1">
      <alignment horizontal="center"/>
    </xf>
    <xf numFmtId="173" fontId="25" fillId="0" borderId="0" xfId="27" applyNumberFormat="1" applyFont="1" applyFill="1"/>
    <xf numFmtId="0" fontId="21" fillId="0" borderId="0" xfId="0" applyNumberFormat="1" applyFont="1" applyFill="1">
      <alignment vertical="center"/>
    </xf>
    <xf numFmtId="173" fontId="21" fillId="0" borderId="0" xfId="0" applyFont="1" applyFill="1">
      <alignment vertical="center"/>
    </xf>
    <xf numFmtId="182" fontId="0" fillId="0" borderId="0" xfId="61" applyNumberFormat="1" applyFont="1" applyFill="1" applyAlignment="1">
      <alignment vertical="center"/>
    </xf>
    <xf numFmtId="169" fontId="45" fillId="0" borderId="0" xfId="61" applyNumberFormat="1" applyFont="1" applyFill="1" applyAlignment="1">
      <alignment horizontal="center" vertical="center"/>
    </xf>
    <xf numFmtId="44" fontId="36" fillId="0" borderId="13" xfId="27" applyNumberFormat="1" applyFont="1" applyFill="1" applyBorder="1" applyAlignment="1">
      <alignment horizontal="center" vertical="center"/>
    </xf>
    <xf numFmtId="44" fontId="26" fillId="16" borderId="13" xfId="61" applyNumberFormat="1" applyFont="1" applyFill="1" applyBorder="1" applyAlignment="1">
      <alignment horizontal="left" vertical="center" wrapText="1"/>
    </xf>
    <xf numFmtId="173" fontId="55" fillId="16" borderId="13" xfId="27" applyNumberFormat="1" applyFont="1" applyFill="1" applyBorder="1" applyAlignment="1">
      <alignment vertical="center"/>
    </xf>
    <xf numFmtId="44" fontId="55" fillId="16" borderId="13" xfId="27" applyNumberFormat="1" applyFont="1" applyFill="1" applyBorder="1" applyAlignment="1">
      <alignment vertical="center"/>
    </xf>
    <xf numFmtId="44" fontId="36" fillId="0" borderId="13" xfId="0" applyNumberFormat="1" applyFont="1" applyFill="1" applyBorder="1">
      <alignment vertical="center"/>
    </xf>
    <xf numFmtId="44" fontId="95" fillId="26" borderId="13" xfId="0" applyNumberFormat="1" applyFont="1" applyFill="1" applyBorder="1">
      <alignment vertical="center"/>
    </xf>
    <xf numFmtId="44" fontId="36" fillId="0" borderId="13" xfId="27" applyNumberFormat="1" applyFont="1" applyFill="1" applyBorder="1" applyAlignment="1"/>
    <xf numFmtId="173" fontId="95" fillId="26" borderId="13" xfId="27" applyNumberFormat="1" applyFont="1" applyFill="1" applyBorder="1" applyAlignment="1">
      <alignment vertical="center"/>
    </xf>
    <xf numFmtId="44" fontId="95" fillId="26" borderId="13" xfId="27" applyNumberFormat="1" applyFont="1" applyFill="1" applyBorder="1" applyAlignment="1"/>
    <xf numFmtId="44" fontId="65" fillId="0" borderId="13" xfId="0" applyNumberFormat="1" applyFont="1" applyFill="1" applyBorder="1">
      <alignment vertical="center"/>
    </xf>
    <xf numFmtId="173" fontId="53" fillId="26" borderId="13" xfId="27" applyNumberFormat="1" applyFont="1" applyFill="1" applyBorder="1" applyAlignment="1">
      <alignment horizontal="left" vertical="center" wrapText="1"/>
    </xf>
    <xf numFmtId="44" fontId="65" fillId="26" borderId="13" xfId="27" applyNumberFormat="1" applyFont="1" applyFill="1" applyBorder="1" applyAlignment="1"/>
    <xf numFmtId="44" fontId="66" fillId="34" borderId="13" xfId="27" applyNumberFormat="1" applyFont="1" applyFill="1" applyBorder="1" applyAlignment="1">
      <alignment horizontal="center" vertical="center" wrapText="1"/>
    </xf>
    <xf numFmtId="44" fontId="66" fillId="34" borderId="13" xfId="20" applyNumberFormat="1" applyFont="1" applyFill="1" applyBorder="1" applyAlignment="1">
      <alignment horizontal="center" vertical="center" wrapText="1"/>
    </xf>
    <xf numFmtId="173" fontId="61" fillId="29" borderId="0" xfId="27" applyNumberFormat="1" applyFont="1" applyFill="1" applyBorder="1" applyAlignment="1">
      <alignment horizontal="left" vertical="center" wrapText="1"/>
    </xf>
    <xf numFmtId="173" fontId="0" fillId="29" borderId="0" xfId="0" applyFill="1" applyBorder="1">
      <alignment vertical="center"/>
    </xf>
    <xf numFmtId="173" fontId="53" fillId="24" borderId="0" xfId="27" applyNumberFormat="1" applyFont="1" applyFill="1" applyBorder="1" applyAlignment="1">
      <alignment horizontal="center" vertical="center" wrapText="1"/>
    </xf>
    <xf numFmtId="169" fontId="69" fillId="31" borderId="0" xfId="27" applyNumberFormat="1" applyFont="1" applyFill="1" applyBorder="1" applyAlignment="1">
      <alignment horizontal="center" vertical="center"/>
    </xf>
    <xf numFmtId="5" fontId="1" fillId="0" borderId="24" xfId="0" applyNumberFormat="1" applyFont="1" applyFill="1" applyBorder="1" applyAlignment="1">
      <alignment horizontal="center" vertical="center"/>
    </xf>
    <xf numFmtId="5" fontId="1" fillId="0" borderId="14" xfId="0" applyNumberFormat="1" applyFont="1" applyFill="1" applyBorder="1" applyAlignment="1">
      <alignment horizontal="center" vertical="center"/>
    </xf>
    <xf numFmtId="5" fontId="1" fillId="0" borderId="25" xfId="0" applyNumberFormat="1" applyFont="1" applyFill="1" applyBorder="1" applyAlignment="1">
      <alignment horizontal="center" vertical="center"/>
    </xf>
    <xf numFmtId="5" fontId="1" fillId="0" borderId="26" xfId="0" applyNumberFormat="1" applyFont="1" applyFill="1" applyBorder="1" applyAlignment="1">
      <alignment horizontal="center" vertical="center"/>
    </xf>
    <xf numFmtId="5" fontId="1" fillId="0" borderId="17" xfId="0" applyNumberFormat="1" applyFont="1" applyFill="1" applyBorder="1" applyAlignment="1">
      <alignment horizontal="center" vertical="center"/>
    </xf>
    <xf numFmtId="5" fontId="35" fillId="22" borderId="16" xfId="0" applyNumberFormat="1" applyFont="1" applyFill="1" applyBorder="1" applyAlignment="1">
      <alignment horizontal="center" vertical="center"/>
    </xf>
    <xf numFmtId="5" fontId="35" fillId="22" borderId="30" xfId="0" applyNumberFormat="1" applyFont="1" applyFill="1" applyBorder="1" applyAlignment="1">
      <alignment horizontal="center" vertical="center"/>
    </xf>
    <xf numFmtId="5" fontId="1" fillId="0" borderId="27" xfId="0" applyNumberFormat="1" applyFont="1" applyFill="1" applyBorder="1" applyAlignment="1">
      <alignment horizontal="center" vertical="center"/>
    </xf>
    <xf numFmtId="5" fontId="1" fillId="16" borderId="26" xfId="0" applyNumberFormat="1" applyFont="1" applyFill="1" applyBorder="1" applyAlignment="1">
      <alignment horizontal="center" vertical="center"/>
    </xf>
    <xf numFmtId="5" fontId="1" fillId="16" borderId="27" xfId="0" applyNumberFormat="1" applyFont="1" applyFill="1" applyBorder="1" applyAlignment="1">
      <alignment horizontal="center" vertical="center"/>
    </xf>
    <xf numFmtId="5" fontId="35" fillId="22" borderId="26" xfId="0" applyNumberFormat="1" applyFont="1" applyFill="1" applyBorder="1" applyAlignment="1">
      <alignment horizontal="center" vertical="center"/>
    </xf>
    <xf numFmtId="5" fontId="35" fillId="22" borderId="27" xfId="0" applyNumberFormat="1" applyFont="1" applyFill="1" applyBorder="1" applyAlignment="1">
      <alignment horizontal="center" vertical="center"/>
    </xf>
    <xf numFmtId="5" fontId="1" fillId="0" borderId="28" xfId="0" applyNumberFormat="1" applyFont="1" applyFill="1" applyBorder="1" applyAlignment="1">
      <alignment horizontal="center" vertical="center"/>
    </xf>
    <xf numFmtId="5" fontId="1" fillId="0" borderId="30" xfId="0" applyNumberFormat="1" applyFont="1" applyFill="1" applyBorder="1" applyAlignment="1">
      <alignment horizontal="center" vertical="center"/>
    </xf>
    <xf numFmtId="0" fontId="1" fillId="16" borderId="13" xfId="0" applyNumberFormat="1" applyFont="1" applyFill="1" applyBorder="1" applyAlignment="1">
      <alignment horizontal="center" vertical="center" wrapText="1"/>
    </xf>
    <xf numFmtId="0" fontId="1" fillId="16" borderId="14" xfId="0" applyNumberFormat="1" applyFont="1" applyFill="1" applyBorder="1" applyAlignment="1">
      <alignment horizontal="center" vertical="center"/>
    </xf>
    <xf numFmtId="185" fontId="36" fillId="0" borderId="0" xfId="0" applyNumberFormat="1" applyFont="1" applyFill="1" applyBorder="1">
      <alignment vertical="center"/>
    </xf>
    <xf numFmtId="173" fontId="35" fillId="0" borderId="0" xfId="0" applyFont="1" applyAlignment="1">
      <alignment horizontal="center" vertical="center"/>
    </xf>
    <xf numFmtId="169" fontId="1" fillId="0" borderId="24" xfId="0" applyNumberFormat="1" applyFont="1" applyBorder="1">
      <alignment vertical="center"/>
    </xf>
    <xf numFmtId="169" fontId="1" fillId="0" borderId="25" xfId="0" applyNumberFormat="1" applyFont="1" applyBorder="1">
      <alignment vertical="center"/>
    </xf>
    <xf numFmtId="169" fontId="1" fillId="0" borderId="29" xfId="0" applyNumberFormat="1" applyFont="1" applyBorder="1">
      <alignment vertical="center"/>
    </xf>
    <xf numFmtId="169" fontId="1" fillId="0" borderId="24" xfId="0" applyNumberFormat="1" applyFont="1" applyBorder="1" applyAlignment="1">
      <alignment vertical="center" wrapText="1"/>
    </xf>
    <xf numFmtId="169" fontId="1" fillId="0" borderId="25" xfId="0" applyNumberFormat="1" applyFont="1" applyBorder="1" applyAlignment="1">
      <alignment vertical="center" wrapText="1"/>
    </xf>
    <xf numFmtId="169" fontId="1" fillId="0" borderId="29" xfId="0" applyNumberFormat="1" applyFont="1" applyBorder="1" applyAlignment="1">
      <alignment vertical="center" wrapText="1"/>
    </xf>
    <xf numFmtId="175" fontId="26" fillId="0" borderId="0" xfId="28" applyNumberFormat="1" applyFont="1" applyFill="1" applyBorder="1" applyAlignment="1"/>
    <xf numFmtId="173" fontId="71" fillId="0" borderId="0" xfId="27" applyNumberFormat="1" applyFont="1" applyAlignment="1">
      <alignment horizontal="center" vertical="center"/>
    </xf>
    <xf numFmtId="173" fontId="60" fillId="24" borderId="15" xfId="27" applyNumberFormat="1" applyFont="1" applyFill="1" applyBorder="1" applyAlignment="1">
      <alignment horizontal="center" vertical="center"/>
    </xf>
    <xf numFmtId="173" fontId="60" fillId="24" borderId="22" xfId="27" applyNumberFormat="1" applyFont="1" applyFill="1" applyBorder="1" applyAlignment="1">
      <alignment horizontal="center" vertical="center"/>
    </xf>
    <xf numFmtId="173" fontId="60" fillId="24" borderId="13" xfId="27" applyNumberFormat="1" applyFont="1" applyFill="1" applyBorder="1" applyAlignment="1">
      <alignment horizontal="center" vertical="center"/>
    </xf>
    <xf numFmtId="173" fontId="60" fillId="24" borderId="16" xfId="27" applyNumberFormat="1" applyFont="1" applyFill="1" applyBorder="1" applyAlignment="1">
      <alignment horizontal="center" vertical="center"/>
    </xf>
    <xf numFmtId="173" fontId="60" fillId="24" borderId="28" xfId="27" applyNumberFormat="1" applyFont="1" applyFill="1" applyBorder="1" applyAlignment="1">
      <alignment horizontal="center" vertical="center"/>
    </xf>
    <xf numFmtId="173" fontId="59" fillId="24" borderId="13" xfId="27" applyNumberFormat="1" applyFont="1" applyFill="1" applyBorder="1" applyAlignment="1">
      <alignment horizontal="center" vertical="center"/>
    </xf>
    <xf numFmtId="173" fontId="59" fillId="27" borderId="15" xfId="27" applyNumberFormat="1" applyFont="1" applyFill="1" applyBorder="1" applyAlignment="1">
      <alignment horizontal="center" vertical="center"/>
    </xf>
    <xf numFmtId="173" fontId="59" fillId="27" borderId="22" xfId="27" applyNumberFormat="1" applyFont="1" applyFill="1" applyBorder="1" applyAlignment="1">
      <alignment horizontal="center" vertical="center"/>
    </xf>
    <xf numFmtId="173" fontId="59" fillId="27" borderId="16" xfId="27" applyNumberFormat="1" applyFont="1" applyFill="1" applyBorder="1" applyAlignment="1">
      <alignment horizontal="center" vertical="center"/>
    </xf>
    <xf numFmtId="173" fontId="37" fillId="22" borderId="0" xfId="0" applyNumberFormat="1" applyFont="1" applyFill="1" applyBorder="1" applyAlignment="1">
      <alignment horizontal="center" vertical="top"/>
    </xf>
    <xf numFmtId="173" fontId="37" fillId="0" borderId="0" xfId="0" applyNumberFormat="1" applyFont="1" applyBorder="1" applyAlignment="1">
      <alignment horizontal="center" vertical="top"/>
    </xf>
    <xf numFmtId="173" fontId="37" fillId="4" borderId="0" xfId="0" applyNumberFormat="1" applyFont="1" applyFill="1" applyBorder="1" applyAlignment="1">
      <alignment horizontal="center" vertical="top"/>
    </xf>
    <xf numFmtId="173" fontId="23" fillId="0" borderId="0" xfId="0" applyNumberFormat="1" applyFont="1" applyFill="1" applyBorder="1" applyAlignment="1">
      <alignment horizontal="center" vertical="top"/>
    </xf>
  </cellXfs>
  <cellStyles count="59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50" builtinId="29" customBuiltin="1"/>
    <cellStyle name="Accent2" xfId="51" builtinId="33" customBuiltin="1"/>
    <cellStyle name="Accent3" xfId="52" builtinId="37" customBuiltin="1"/>
    <cellStyle name="Accent4" xfId="53" builtinId="41" customBuiltin="1"/>
    <cellStyle name="Accent5" xfId="54" builtinId="45" customBuiltin="1"/>
    <cellStyle name="Accent6" xfId="55" builtinId="49" customBuiltin="1"/>
    <cellStyle name="Bad" xfId="26" builtinId="27" customBuiltin="1"/>
    <cellStyle name="Calculation" xfId="45" builtinId="22" customBuiltin="1"/>
    <cellStyle name="Check Cell" xfId="46" builtinId="23" customBuiltin="1"/>
    <cellStyle name="Currency" xfId="61" builtinId="4"/>
    <cellStyle name="Explanatory Text" xfId="47" builtinId="53" customBuiltin="1"/>
    <cellStyle name="Followed Hyperlink" xfId="68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Good" xfId="40" builtinId="26" customBuiltin="1"/>
    <cellStyle name="Heading 1" xfId="22" builtinId="16" customBuiltin="1"/>
    <cellStyle name="Heading 2" xfId="23" builtinId="17" customBuiltin="1"/>
    <cellStyle name="Heading 3" xfId="24" builtinId="18" customBuiltin="1"/>
    <cellStyle name="Heading 4" xfId="25" builtinId="19" customBuiltin="1"/>
    <cellStyle name="Hyperlink" xfId="67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Input" xfId="58" builtinId="20" customBuiltin="1"/>
    <cellStyle name="Linked Cell" xfId="49" builtinId="24" customBuiltin="1"/>
    <cellStyle name="Neutral" xfId="56" builtinId="28" customBuiltin="1"/>
    <cellStyle name="Normal" xfId="0" builtinId="0"/>
    <cellStyle name="Normal_Expense Accounts" xfId="19"/>
    <cellStyle name="Normal_Sheet3" xfId="20"/>
    <cellStyle name="Note" xfId="59" builtinId="10" customBuiltin="1"/>
    <cellStyle name="Output" xfId="57" builtinId="21" customBuiltin="1"/>
    <cellStyle name="Percent" xfId="62" builtinId="5"/>
    <cellStyle name="Title" xfId="21" builtinId="15" customBuiltin="1"/>
    <cellStyle name="Total" xfId="41" builtinId="25" customBuiltin="1"/>
    <cellStyle name="Warning Text" xfId="48" builtinId="11" customBuiltin="1"/>
    <cellStyle name="常规 2" xfId="27"/>
    <cellStyle name="常规 2 2" xfId="28"/>
    <cellStyle name="常规 2 2 2" xfId="29"/>
    <cellStyle name="常规 2 2_Cashflow" xfId="30"/>
    <cellStyle name="常规 2 3" xfId="31"/>
    <cellStyle name="常规 2 4" xfId="32"/>
    <cellStyle name="常规 3" xfId="33"/>
    <cellStyle name="常规 4" xfId="34"/>
    <cellStyle name="常规 5" xfId="35"/>
    <cellStyle name="常规 5 2" xfId="36"/>
    <cellStyle name="常规 6" xfId="37"/>
    <cellStyle name="常规 7" xfId="38"/>
    <cellStyle name="常规 8" xfId="39"/>
    <cellStyle name="常规_8 - Detailed Expenses" xfId="63"/>
    <cellStyle name="常规_8 - Detailed Expenses_1" xfId="65"/>
    <cellStyle name="常规_8 - Detailed Expenses_2" xfId="66"/>
    <cellStyle name="常规_Detailed Expenses_1" xfId="64"/>
    <cellStyle name="常规_Detailed Expenses_2" xfId="60"/>
    <cellStyle name="常规_Sheet1_1" xfId="69"/>
    <cellStyle name="货币 2" xfId="42"/>
    <cellStyle name="货币 2 2" xfId="43"/>
    <cellStyle name="货币 2_Cashflow" xfId="4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theme" Target="theme/theme1.xml"/><Relationship Id="rId22" Type="http://schemas.openxmlformats.org/officeDocument/2006/relationships/styles" Target="styles.xml"/><Relationship Id="rId23" Type="http://schemas.openxmlformats.org/officeDocument/2006/relationships/sharedStrings" Target="sharedStrings.xml"/><Relationship Id="rId24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D20"/>
  <sheetViews>
    <sheetView zoomScale="150" workbookViewId="0">
      <selection activeCell="A5" sqref="A5"/>
    </sheetView>
  </sheetViews>
  <sheetFormatPr baseColWidth="10" defaultColWidth="8.83203125" defaultRowHeight="13" x14ac:dyDescent="0"/>
  <cols>
    <col min="1" max="1" width="6" style="228" bestFit="1" customWidth="1"/>
    <col min="2" max="2" width="54.83203125" style="13" customWidth="1"/>
    <col min="3" max="4" width="9" style="22" bestFit="1" customWidth="1"/>
    <col min="5" max="5" width="18.6640625" style="13" customWidth="1"/>
    <col min="6" max="6" width="9" style="13" bestFit="1"/>
    <col min="7" max="16384" width="8.83203125" style="13"/>
  </cols>
  <sheetData>
    <row r="1" spans="1:4" customFormat="1" ht="14">
      <c r="A1" s="543" t="s">
        <v>346</v>
      </c>
      <c r="B1" s="543"/>
    </row>
    <row r="2" spans="1:4" customFormat="1" ht="14">
      <c r="A2" s="543" t="s">
        <v>244</v>
      </c>
      <c r="B2" s="543"/>
    </row>
    <row r="3" spans="1:4" customFormat="1" ht="14">
      <c r="A3" s="543" t="s">
        <v>1198</v>
      </c>
      <c r="B3" s="543"/>
    </row>
    <row r="4" spans="1:4" customFormat="1" ht="14">
      <c r="A4" s="228"/>
      <c r="B4" s="13"/>
    </row>
    <row r="5" spans="1:4" customFormat="1" ht="14">
      <c r="A5" s="230" t="s">
        <v>594</v>
      </c>
      <c r="B5" s="130" t="s">
        <v>347</v>
      </c>
    </row>
    <row r="6" spans="1:4">
      <c r="C6" s="13"/>
      <c r="D6" s="13"/>
    </row>
    <row r="7" spans="1:4">
      <c r="A7" s="231" t="s">
        <v>349</v>
      </c>
      <c r="B7" s="27" t="s">
        <v>348</v>
      </c>
      <c r="C7" s="13"/>
      <c r="D7" s="13"/>
    </row>
    <row r="8" spans="1:4">
      <c r="A8" s="224">
        <v>1</v>
      </c>
      <c r="B8" s="27" t="s">
        <v>274</v>
      </c>
      <c r="C8" s="13"/>
      <c r="D8" s="13"/>
    </row>
    <row r="9" spans="1:4">
      <c r="A9" s="224" t="s">
        <v>1104</v>
      </c>
      <c r="B9" s="27" t="s">
        <v>275</v>
      </c>
      <c r="C9" s="13"/>
      <c r="D9" s="13"/>
    </row>
    <row r="10" spans="1:4">
      <c r="A10" s="224" t="s">
        <v>1105</v>
      </c>
      <c r="B10" s="27" t="s">
        <v>1106</v>
      </c>
      <c r="C10" s="13"/>
      <c r="D10" s="13"/>
    </row>
    <row r="11" spans="1:4" ht="13.5" customHeight="1">
      <c r="A11" s="224">
        <v>3</v>
      </c>
      <c r="B11" s="23" t="s">
        <v>279</v>
      </c>
      <c r="C11" s="13"/>
      <c r="D11" s="13"/>
    </row>
    <row r="12" spans="1:4">
      <c r="A12" s="224">
        <v>4</v>
      </c>
      <c r="B12" s="27" t="s">
        <v>1107</v>
      </c>
      <c r="C12" s="13"/>
      <c r="D12" s="13"/>
    </row>
    <row r="13" spans="1:4">
      <c r="A13" s="224">
        <v>5</v>
      </c>
      <c r="B13" s="23" t="s">
        <v>280</v>
      </c>
      <c r="C13" s="13"/>
      <c r="D13" s="13"/>
    </row>
    <row r="14" spans="1:4">
      <c r="A14" s="224">
        <v>6</v>
      </c>
      <c r="B14" s="23" t="s">
        <v>1108</v>
      </c>
      <c r="C14" s="13"/>
      <c r="D14" s="13"/>
    </row>
    <row r="15" spans="1:4">
      <c r="A15" s="224">
        <v>7</v>
      </c>
      <c r="B15" s="23" t="s">
        <v>344</v>
      </c>
      <c r="C15" s="13"/>
      <c r="D15" s="13"/>
    </row>
    <row r="16" spans="1:4">
      <c r="A16" s="224">
        <v>8</v>
      </c>
      <c r="B16" s="23" t="s">
        <v>595</v>
      </c>
      <c r="C16" s="13"/>
      <c r="D16" s="13"/>
    </row>
    <row r="17" spans="1:2" s="271" customFormat="1">
      <c r="A17" s="239">
        <v>9</v>
      </c>
      <c r="B17" s="23" t="s">
        <v>345</v>
      </c>
    </row>
    <row r="18" spans="1:2" s="271" customFormat="1" ht="17.25" customHeight="1">
      <c r="A18" s="239">
        <v>10</v>
      </c>
      <c r="B18" s="23" t="s">
        <v>1199</v>
      </c>
    </row>
    <row r="19" spans="1:2">
      <c r="A19" s="239">
        <v>11</v>
      </c>
      <c r="B19" s="240" t="s">
        <v>1015</v>
      </c>
    </row>
    <row r="20" spans="1:2">
      <c r="A20" s="224">
        <v>12</v>
      </c>
      <c r="B20" s="27" t="s">
        <v>1016</v>
      </c>
    </row>
  </sheetData>
  <mergeCells count="3">
    <mergeCell ref="A1:B1"/>
    <mergeCell ref="A2:B2"/>
    <mergeCell ref="A3:B3"/>
  </mergeCells>
  <phoneticPr fontId="41" type="noConversion"/>
  <pageMargins left="0.69861111111111107" right="0.69861111111111107" top="0.75" bottom="0.75" header="0.3" footer="0.3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17"/>
  <sheetViews>
    <sheetView tabSelected="1" zoomScale="150" workbookViewId="0">
      <selection activeCell="D17" sqref="D17"/>
    </sheetView>
  </sheetViews>
  <sheetFormatPr baseColWidth="10" defaultColWidth="10.83203125" defaultRowHeight="13" x14ac:dyDescent="0"/>
  <cols>
    <col min="1" max="1" width="9.33203125" style="80" customWidth="1"/>
    <col min="2" max="2" width="6.83203125" style="228" customWidth="1"/>
    <col min="3" max="3" width="41" style="80" customWidth="1"/>
    <col min="4" max="4" width="14.6640625" style="469" customWidth="1"/>
    <col min="5" max="5" width="12.83203125" style="468" customWidth="1"/>
    <col min="6" max="6" width="11.5" style="80" bestFit="1" customWidth="1"/>
    <col min="7" max="16384" width="10.83203125" style="80"/>
  </cols>
  <sheetData>
    <row r="1" spans="1:5">
      <c r="A1" s="79" t="s">
        <v>539</v>
      </c>
      <c r="B1" s="224" t="s">
        <v>540</v>
      </c>
      <c r="C1" s="79"/>
      <c r="D1" s="540">
        <v>2012</v>
      </c>
      <c r="E1" s="541">
        <v>2013</v>
      </c>
    </row>
    <row r="2" spans="1:5">
      <c r="A2" s="544" t="s">
        <v>773</v>
      </c>
      <c r="B2" s="225">
        <v>8</v>
      </c>
      <c r="C2" s="81" t="s">
        <v>774</v>
      </c>
      <c r="D2" s="526">
        <v>239278</v>
      </c>
      <c r="E2" s="527">
        <f>SUMIF('7 - Detailed Revenue'!$G:$G,"1f - All other contributions, gifts, grants, and similar amounts not included above",'7 - Detailed Revenue'!$E:$E)</f>
        <v>292088.98760914599</v>
      </c>
    </row>
    <row r="3" spans="1:5">
      <c r="A3" s="545"/>
      <c r="B3" s="226">
        <v>9</v>
      </c>
      <c r="C3" s="82" t="s">
        <v>775</v>
      </c>
      <c r="D3" s="528">
        <v>0</v>
      </c>
      <c r="E3" s="529">
        <f>SUMIF('7 - Detailed Revenue'!$G:$G,"2 - Program Service Revenue:  NGO Service Fee Revenue",'7 - Detailed Revenue'!$E:$E)</f>
        <v>0</v>
      </c>
    </row>
    <row r="4" spans="1:5">
      <c r="A4" s="545"/>
      <c r="B4" s="226">
        <v>10</v>
      </c>
      <c r="C4" s="82" t="s">
        <v>776</v>
      </c>
      <c r="D4" s="528">
        <v>133.47</v>
      </c>
      <c r="E4" s="529">
        <f>SUMIF('7 - Detailed Revenue'!$G:$G,"3 - Investment income (including dividends, interest, and other similar amounts)",'7 - Detailed Revenue'!$E:$E)</f>
        <v>186.83144366773601</v>
      </c>
    </row>
    <row r="5" spans="1:5">
      <c r="A5" s="545"/>
      <c r="B5" s="226">
        <v>11</v>
      </c>
      <c r="C5" s="82" t="s">
        <v>777</v>
      </c>
      <c r="D5" s="528">
        <v>0</v>
      </c>
      <c r="E5" s="530">
        <v>0</v>
      </c>
    </row>
    <row r="6" spans="1:5" ht="16" customHeight="1">
      <c r="A6" s="546"/>
      <c r="B6" s="227">
        <v>12</v>
      </c>
      <c r="C6" s="237" t="s">
        <v>1013</v>
      </c>
      <c r="D6" s="531">
        <f>SUM(D2:D5)</f>
        <v>239411.47</v>
      </c>
      <c r="E6" s="532">
        <f>SUM(E2:E5)</f>
        <v>292275.81905281375</v>
      </c>
    </row>
    <row r="7" spans="1:5">
      <c r="A7" s="544" t="s">
        <v>800</v>
      </c>
      <c r="B7" s="226">
        <v>13</v>
      </c>
      <c r="C7" s="82" t="s">
        <v>801</v>
      </c>
      <c r="D7" s="529">
        <v>0</v>
      </c>
      <c r="E7" s="533">
        <v>0</v>
      </c>
    </row>
    <row r="8" spans="1:5">
      <c r="A8" s="545"/>
      <c r="B8" s="226">
        <v>14</v>
      </c>
      <c r="C8" s="82" t="s">
        <v>802</v>
      </c>
      <c r="D8" s="529">
        <v>0</v>
      </c>
      <c r="E8" s="533">
        <v>0</v>
      </c>
    </row>
    <row r="9" spans="1:5">
      <c r="A9" s="545"/>
      <c r="B9" s="226">
        <v>15</v>
      </c>
      <c r="C9" s="82" t="s">
        <v>803</v>
      </c>
      <c r="D9" s="529">
        <v>82848.75</v>
      </c>
      <c r="E9" s="533">
        <f>SUMIF('10 - Salary &amp; Benefits Detail'!C:C,"TOTAL",'10 - Salary &amp; Benefits Detail'!E:E)</f>
        <v>53201.896802290205</v>
      </c>
    </row>
    <row r="10" spans="1:5">
      <c r="A10" s="545"/>
      <c r="B10" s="226" t="s">
        <v>804</v>
      </c>
      <c r="C10" s="82" t="s">
        <v>692</v>
      </c>
      <c r="D10" s="529">
        <v>0</v>
      </c>
      <c r="E10" s="533">
        <v>0</v>
      </c>
    </row>
    <row r="11" spans="1:5">
      <c r="A11" s="545"/>
      <c r="B11" s="226" t="s">
        <v>693</v>
      </c>
      <c r="C11" s="82" t="s">
        <v>694</v>
      </c>
      <c r="D11" s="534"/>
      <c r="E11" s="535"/>
    </row>
    <row r="12" spans="1:5">
      <c r="A12" s="545"/>
      <c r="B12" s="226">
        <v>17</v>
      </c>
      <c r="C12" s="82" t="s">
        <v>695</v>
      </c>
      <c r="D12" s="529">
        <v>213189.49137999996</v>
      </c>
      <c r="E12" s="533">
        <f>'4 - Monthly Pgm Exp'!K17-'0 - 990-pg1'!E9</f>
        <v>287364.25627408456</v>
      </c>
    </row>
    <row r="13" spans="1:5">
      <c r="A13" s="545"/>
      <c r="B13" s="226">
        <v>18</v>
      </c>
      <c r="C13" s="238" t="s">
        <v>1014</v>
      </c>
      <c r="D13" s="536">
        <v>296038.24137999996</v>
      </c>
      <c r="E13" s="537">
        <f>SUM(E7:E12)</f>
        <v>340566.15307637479</v>
      </c>
    </row>
    <row r="14" spans="1:5">
      <c r="A14" s="546"/>
      <c r="B14" s="226">
        <v>19</v>
      </c>
      <c r="C14" s="82" t="s">
        <v>696</v>
      </c>
      <c r="D14" s="529">
        <v>-56493.293266392371</v>
      </c>
      <c r="E14" s="533">
        <f>E6-E13</f>
        <v>-48290.334023561038</v>
      </c>
    </row>
    <row r="15" spans="1:5">
      <c r="A15" s="547" t="s">
        <v>697</v>
      </c>
      <c r="B15" s="225">
        <v>20</v>
      </c>
      <c r="C15" s="81" t="s">
        <v>698</v>
      </c>
      <c r="D15" s="527">
        <v>198853.0760321375</v>
      </c>
      <c r="E15" s="538">
        <f>'2a - Balance'!D10</f>
        <v>173411.03581911395</v>
      </c>
    </row>
    <row r="16" spans="1:5">
      <c r="A16" s="548"/>
      <c r="B16" s="226">
        <v>21</v>
      </c>
      <c r="C16" s="82" t="s">
        <v>699</v>
      </c>
      <c r="D16" s="529">
        <v>214755</v>
      </c>
      <c r="E16" s="533">
        <f>'2a - Balance'!D17</f>
        <v>237603.55932032134</v>
      </c>
    </row>
    <row r="17" spans="1:5">
      <c r="A17" s="549"/>
      <c r="B17" s="227">
        <v>22</v>
      </c>
      <c r="C17" s="83" t="s">
        <v>630</v>
      </c>
      <c r="D17" s="530">
        <v>-15902.184590868841</v>
      </c>
      <c r="E17" s="539">
        <f>E15-E16</f>
        <v>-64192.523501207383</v>
      </c>
    </row>
  </sheetData>
  <mergeCells count="3">
    <mergeCell ref="A2:A6"/>
    <mergeCell ref="A7:A14"/>
    <mergeCell ref="A15:A17"/>
  </mergeCells>
  <phoneticPr fontId="51" type="noConversion"/>
  <printOptions gridLines="1"/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activeCell="M19" sqref="M19"/>
    </sheetView>
  </sheetViews>
  <sheetFormatPr baseColWidth="10" defaultColWidth="10.83203125" defaultRowHeight="13" x14ac:dyDescent="0"/>
  <cols>
    <col min="1" max="1" width="9" style="46" customWidth="1"/>
    <col min="2" max="2" width="39.6640625" style="46" bestFit="1" customWidth="1"/>
    <col min="3" max="3" width="0.1640625" style="50" hidden="1" customWidth="1"/>
    <col min="4" max="4" width="12.33203125" style="46" hidden="1" customWidth="1"/>
    <col min="5" max="5" width="12.1640625" style="46" hidden="1" customWidth="1"/>
    <col min="6" max="6" width="12.33203125" style="46" hidden="1" customWidth="1"/>
    <col min="7" max="7" width="15.6640625" style="46" bestFit="1" customWidth="1"/>
    <col min="8" max="8" width="17.33203125" style="46" customWidth="1"/>
    <col min="9" max="11" width="11.6640625" style="196" bestFit="1" customWidth="1"/>
    <col min="12" max="13" width="11.33203125" style="196" bestFit="1" customWidth="1"/>
    <col min="14" max="15" width="12.33203125" style="196" bestFit="1" customWidth="1"/>
    <col min="16" max="20" width="12.1640625" style="194" bestFit="1" customWidth="1"/>
    <col min="21" max="21" width="20.5" style="433" customWidth="1"/>
    <col min="22" max="16384" width="10.83203125" style="194"/>
  </cols>
  <sheetData>
    <row r="1" spans="1:21">
      <c r="A1" s="60"/>
      <c r="B1" s="60"/>
      <c r="C1" s="61">
        <v>2008</v>
      </c>
      <c r="D1" s="61">
        <v>2009</v>
      </c>
      <c r="E1" s="61">
        <v>2010</v>
      </c>
      <c r="F1" s="61">
        <v>2011</v>
      </c>
      <c r="G1" s="62">
        <v>2012</v>
      </c>
      <c r="H1" s="62" t="s">
        <v>839</v>
      </c>
      <c r="I1" s="72" t="s">
        <v>792</v>
      </c>
      <c r="J1" s="72" t="s">
        <v>793</v>
      </c>
      <c r="K1" s="72" t="s">
        <v>794</v>
      </c>
      <c r="L1" s="72" t="s">
        <v>795</v>
      </c>
      <c r="M1" s="72" t="s">
        <v>796</v>
      </c>
      <c r="N1" s="72" t="s">
        <v>797</v>
      </c>
      <c r="O1" s="72" t="s">
        <v>287</v>
      </c>
      <c r="P1" s="72" t="s">
        <v>786</v>
      </c>
      <c r="Q1" s="72" t="s">
        <v>787</v>
      </c>
      <c r="R1" s="72" t="s">
        <v>788</v>
      </c>
      <c r="S1" s="72" t="s">
        <v>994</v>
      </c>
      <c r="T1" s="72" t="s">
        <v>100</v>
      </c>
    </row>
    <row r="2" spans="1:21" s="195" customFormat="1" ht="16" thickBot="1">
      <c r="A2" s="189" t="s">
        <v>307</v>
      </c>
      <c r="B2" s="192"/>
      <c r="C2" s="63">
        <v>115051.99</v>
      </c>
      <c r="D2" s="63">
        <v>44973.770000000004</v>
      </c>
      <c r="E2" s="63">
        <v>65278.218697314922</v>
      </c>
      <c r="F2" s="63">
        <v>50531.958697314913</v>
      </c>
      <c r="G2" s="64">
        <v>217211.69185157045</v>
      </c>
      <c r="H2" s="64">
        <f>'2b - Monthly Balance'!C10</f>
        <v>198853.0760321375</v>
      </c>
      <c r="I2" s="197">
        <f>G11</f>
        <v>198853.07603213761</v>
      </c>
      <c r="J2" s="197">
        <f>I11</f>
        <v>180618.08649070561</v>
      </c>
      <c r="K2" s="197">
        <f t="shared" ref="K2:T2" si="0">J11</f>
        <v>430064.48020420852</v>
      </c>
      <c r="L2" s="197">
        <f t="shared" si="0"/>
        <v>396082.30417105078</v>
      </c>
      <c r="M2" s="197">
        <f t="shared" si="0"/>
        <v>371939.43209526478</v>
      </c>
      <c r="N2" s="197">
        <f t="shared" si="0"/>
        <v>355877.68824369839</v>
      </c>
      <c r="O2" s="197">
        <f t="shared" si="0"/>
        <v>329407.14367533819</v>
      </c>
      <c r="P2" s="197">
        <f t="shared" si="0"/>
        <v>318402.47802234505</v>
      </c>
      <c r="Q2" s="197">
        <f t="shared" si="0"/>
        <v>311966.92340856494</v>
      </c>
      <c r="R2" s="197">
        <f t="shared" si="0"/>
        <v>264834.41884626559</v>
      </c>
      <c r="S2" s="197">
        <f t="shared" si="0"/>
        <v>241890.95940886243</v>
      </c>
      <c r="T2" s="197">
        <f t="shared" si="0"/>
        <v>237852.80968781986</v>
      </c>
      <c r="U2" s="434"/>
    </row>
    <row r="3" spans="1:21" ht="14" thickTop="1">
      <c r="B3" s="48" t="s">
        <v>799</v>
      </c>
      <c r="C3" s="65">
        <v>10206</v>
      </c>
      <c r="D3" s="65">
        <v>192815.20457039989</v>
      </c>
      <c r="E3" s="65">
        <v>104368.98</v>
      </c>
      <c r="F3" s="65">
        <v>260214.32</v>
      </c>
      <c r="G3" s="65">
        <v>239411.4680918162</v>
      </c>
      <c r="H3" s="65">
        <f>SUM(I3:T3)</f>
        <v>292275.81905281369</v>
      </c>
      <c r="I3" s="198">
        <f>SUMIF('7 - Detailed Revenue'!$B:$B,"&lt;2/1/2013",'7 - Detailed Revenue'!$E:$E)</f>
        <v>1609.0104585679808</v>
      </c>
      <c r="J3" s="198">
        <f>SUMIF('7 - Detailed Revenue'!$B:$B,"&lt;3/1/2013",'7 - Detailed Revenue'!$E:$E)-SUM(I3)</f>
        <v>267602.74934197741</v>
      </c>
      <c r="K3" s="198">
        <f>SUMIF('7 - Detailed Revenue'!$B:$B,"&lt;4/1/2013",'7 - Detailed Revenue'!$E:$E)-SUM($I3:J3)</f>
        <v>1683.7504501587246</v>
      </c>
      <c r="L3" s="198">
        <f>SUMIF('7 - Detailed Revenue'!$B:$B,"&lt;5/1/2013",'7 - Detailed Revenue'!$E:$E)-SUM($I3:K3)</f>
        <v>1732.888176300039</v>
      </c>
      <c r="M3" s="198">
        <f>SUMIF('7 - Detailed Revenue'!$B:$B,"&lt;6/1/2013",'7 - Detailed Revenue'!$E:$E)-SUM($I3:L3)</f>
        <v>1652.2098306484986</v>
      </c>
      <c r="N3" s="198">
        <f>SUMIF('7 - Detailed Revenue'!$B:$B,"&lt;7/1/2013",'7 - Detailed Revenue'!$E:$E)-SUM($I3:M3)</f>
        <v>1692.4921933085425</v>
      </c>
      <c r="O3" s="198">
        <f>SUMIF('7 - Detailed Revenue'!$B:$B,"&lt;8/1/2013",'7 - Detailed Revenue'!$E:$E)-SUM($I3:N3)</f>
        <v>2398.9356427461607</v>
      </c>
      <c r="P3" s="198">
        <f>SUMIF('7 - Detailed Revenue'!$B:$B,"&lt;9/1/2013",'7 - Detailed Revenue'!$E:$E)-SUM($I3:O3)</f>
        <v>1668.9865245174151</v>
      </c>
      <c r="Q3" s="198">
        <f>SUMIF('7 - Detailed Revenue'!$B:$B,"&lt;10/1/2013",'7 - Detailed Revenue'!$E:$E)-SUM($I3:P3)</f>
        <v>2091.2411122569465</v>
      </c>
      <c r="R3" s="198">
        <f>SUMIF('7 - Detailed Revenue'!$B:$B,"&lt;11/1/2013",'7 - Detailed Revenue'!$E:$E)-SUM($I3:Q3)</f>
        <v>1665.4730776277138</v>
      </c>
      <c r="S3" s="198">
        <f>SUMIF('7 - Detailed Revenue'!$B:$B,"&lt;12/1/2013",'7 - Detailed Revenue'!$E:$E)-SUM($I3:R3)</f>
        <v>1873.5948038970237</v>
      </c>
      <c r="T3" s="198">
        <f>SUMIF('7 - Detailed Revenue'!$B:$B,"&lt;1/1/2014",'7 - Detailed Revenue'!$E:$E)-SUM($I3:S3)</f>
        <v>6604.487440807221</v>
      </c>
    </row>
    <row r="4" spans="1:21">
      <c r="B4" s="48" t="s">
        <v>308</v>
      </c>
      <c r="C4" s="65">
        <v>-80684.22</v>
      </c>
      <c r="D4" s="65">
        <v>-172510.75587308497</v>
      </c>
      <c r="E4" s="65">
        <v>-118715.24</v>
      </c>
      <c r="F4" s="65">
        <v>-150021.69</v>
      </c>
      <c r="G4" s="65">
        <v>-296038.24137999996</v>
      </c>
      <c r="H4" s="65">
        <f>-'4 - Monthly Pgm Exp'!K17</f>
        <v>-340566.15307637479</v>
      </c>
      <c r="I4" s="198">
        <f>-'4 - Monthly Pgm Exp'!K5</f>
        <v>-22611.339999999997</v>
      </c>
      <c r="J4" s="198">
        <f>-'4 - Monthly Pgm Exp'!K6</f>
        <v>-15556.355628474492</v>
      </c>
      <c r="K4" s="198">
        <f>-'4 - Monthly Pgm Exp'!K7</f>
        <v>-35865.926483316449</v>
      </c>
      <c r="L4" s="198">
        <f>-'4 - Monthly Pgm Exp'!K8</f>
        <v>-28855.950252086033</v>
      </c>
      <c r="M4" s="198">
        <f>-'4 - Monthly Pgm Exp'!K9</f>
        <v>-19848.473682214881</v>
      </c>
      <c r="N4" s="198">
        <f>-'4 - Monthly Pgm Exp'!K10</f>
        <v>-30209.796761668738</v>
      </c>
      <c r="O4" s="198">
        <f>-'4 - Monthly Pgm Exp'!K11</f>
        <v>-20479.191295739278</v>
      </c>
      <c r="P4" s="198">
        <f>-'4 - Monthly Pgm Exp'!K12</f>
        <v>-8199.5411382975144</v>
      </c>
      <c r="Q4" s="198">
        <f>-'4 - Monthly Pgm Exp'!K13</f>
        <v>-54197.13567455631</v>
      </c>
      <c r="R4" s="198">
        <f>-'4 - Monthly Pgm Exp'!K14</f>
        <v>-24830.802515030868</v>
      </c>
      <c r="S4" s="198">
        <f>-'4 - Monthly Pgm Exp'!K15</f>
        <v>-8545.3845249396109</v>
      </c>
      <c r="T4" s="198">
        <f>-'4 - Monthly Pgm Exp'!K16</f>
        <v>-71366.255120050657</v>
      </c>
    </row>
    <row r="5" spans="1:21" s="195" customFormat="1" ht="17.25" customHeight="1">
      <c r="A5" s="192"/>
      <c r="B5" s="49" t="s">
        <v>309</v>
      </c>
      <c r="C5" s="193">
        <v>-70478.22</v>
      </c>
      <c r="D5" s="193">
        <v>20304.448697314918</v>
      </c>
      <c r="E5" s="193">
        <v>-14346.260000000009</v>
      </c>
      <c r="F5" s="193">
        <v>110192.63</v>
      </c>
      <c r="G5" s="193">
        <f>SUM(G3:G4)</f>
        <v>-56626.773288183758</v>
      </c>
      <c r="H5" s="193">
        <f>SUM(H3:H4)</f>
        <v>-48290.334023561096</v>
      </c>
      <c r="I5" s="199">
        <f t="shared" ref="I5:O5" si="1">SUM(I3:I4)</f>
        <v>-21002.329541432016</v>
      </c>
      <c r="J5" s="199">
        <f t="shared" si="1"/>
        <v>252046.39371350291</v>
      </c>
      <c r="K5" s="199">
        <f t="shared" si="1"/>
        <v>-34182.176033157724</v>
      </c>
      <c r="L5" s="199">
        <f t="shared" si="1"/>
        <v>-27123.062075785994</v>
      </c>
      <c r="M5" s="199">
        <f t="shared" si="1"/>
        <v>-18196.263851566382</v>
      </c>
      <c r="N5" s="199">
        <f t="shared" si="1"/>
        <v>-28517.304568360196</v>
      </c>
      <c r="O5" s="199">
        <f t="shared" si="1"/>
        <v>-18080.255652993117</v>
      </c>
      <c r="P5" s="199">
        <f t="shared" ref="P5:R5" si="2">SUM(P3:P4)</f>
        <v>-6530.5546137800993</v>
      </c>
      <c r="Q5" s="199">
        <f t="shared" si="2"/>
        <v>-52105.894562299363</v>
      </c>
      <c r="R5" s="199">
        <f t="shared" si="2"/>
        <v>-23165.329437403154</v>
      </c>
      <c r="S5" s="199">
        <f t="shared" ref="S5:T5" si="3">SUM(S3:S4)</f>
        <v>-6671.7897210425872</v>
      </c>
      <c r="T5" s="199">
        <f t="shared" si="3"/>
        <v>-64761.767679243436</v>
      </c>
      <c r="U5" s="434"/>
    </row>
    <row r="6" spans="1:21" ht="13.5" customHeight="1">
      <c r="B6" s="49" t="s">
        <v>840</v>
      </c>
      <c r="C6" s="65">
        <v>400</v>
      </c>
      <c r="D6" s="65">
        <v>0</v>
      </c>
      <c r="E6" s="65">
        <v>-400</v>
      </c>
      <c r="F6" s="65">
        <v>0</v>
      </c>
      <c r="G6" s="191"/>
      <c r="H6" s="65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</row>
    <row r="7" spans="1:21">
      <c r="B7" s="190" t="s">
        <v>841</v>
      </c>
      <c r="C7" s="65"/>
      <c r="D7" s="65"/>
      <c r="E7" s="65"/>
      <c r="F7" s="65"/>
      <c r="G7" s="191">
        <f>-56487.1018515704</f>
        <v>-56487.101851570398</v>
      </c>
      <c r="H7" s="65">
        <f>-G8</f>
        <v>-94755.259320321333</v>
      </c>
      <c r="I7" s="198">
        <f>-G8</f>
        <v>-94755.259320321333</v>
      </c>
      <c r="J7" s="198">
        <f>-I8</f>
        <v>-97522.599320321329</v>
      </c>
      <c r="K7" s="198">
        <f t="shared" ref="K7:T7" si="4">-J8</f>
        <v>-94922.599320321329</v>
      </c>
      <c r="L7" s="198">
        <f t="shared" si="4"/>
        <v>-95122.599320321329</v>
      </c>
      <c r="M7" s="198">
        <f t="shared" si="4"/>
        <v>-98102.789320321332</v>
      </c>
      <c r="N7" s="198">
        <f t="shared" si="4"/>
        <v>-100237.30932032134</v>
      </c>
      <c r="O7" s="198">
        <f t="shared" si="4"/>
        <v>-102284.06932032135</v>
      </c>
      <c r="P7" s="198">
        <f t="shared" si="4"/>
        <v>-109359.65932032134</v>
      </c>
      <c r="Q7" s="198">
        <f t="shared" si="4"/>
        <v>-109454.65932032134</v>
      </c>
      <c r="R7" s="198">
        <f t="shared" si="4"/>
        <v>-114428.04932032134</v>
      </c>
      <c r="S7" s="198">
        <f t="shared" si="4"/>
        <v>-114649.91932032134</v>
      </c>
      <c r="T7" s="198">
        <f t="shared" si="4"/>
        <v>-117283.55932032134</v>
      </c>
    </row>
    <row r="8" spans="1:21">
      <c r="B8" s="190" t="s">
        <v>842</v>
      </c>
      <c r="C8" s="65"/>
      <c r="D8" s="65"/>
      <c r="E8" s="65"/>
      <c r="F8" s="65"/>
      <c r="G8" s="65">
        <f>SUM('2b - Monthly Balance'!C14:C15)</f>
        <v>94755.259320321333</v>
      </c>
      <c r="H8" s="65">
        <f>T8</f>
        <v>117603.55932032134</v>
      </c>
      <c r="I8" s="198">
        <f>SUM('2b - Monthly Balance'!D14:D15)</f>
        <v>97522.599320321329</v>
      </c>
      <c r="J8" s="198">
        <f>SUM('2b - Monthly Balance'!E14:E15)</f>
        <v>94922.599320321329</v>
      </c>
      <c r="K8" s="198">
        <f>SUM('2b - Monthly Balance'!F14:F15)</f>
        <v>95122.599320321329</v>
      </c>
      <c r="L8" s="198">
        <f>SUM('2b - Monthly Balance'!G14:G15)</f>
        <v>98102.789320321332</v>
      </c>
      <c r="M8" s="198">
        <f>SUM('2b - Monthly Balance'!H14:H15)</f>
        <v>100237.30932032134</v>
      </c>
      <c r="N8" s="198">
        <f>SUM('2b - Monthly Balance'!I14:I15)</f>
        <v>102284.06932032135</v>
      </c>
      <c r="O8" s="198">
        <f>SUM('2b - Monthly Balance'!J14:J15)</f>
        <v>109359.65932032134</v>
      </c>
      <c r="P8" s="198">
        <f>SUM('2b - Monthly Balance'!K14:K15)</f>
        <v>109454.65932032134</v>
      </c>
      <c r="Q8" s="198">
        <f>SUM('2b - Monthly Balance'!L14:L15)</f>
        <v>114428.04932032134</v>
      </c>
      <c r="R8" s="198">
        <f>SUM('2b - Monthly Balance'!M14:M15)</f>
        <v>114649.91932032134</v>
      </c>
      <c r="S8" s="198">
        <f>SUM('2b - Monthly Balance'!N14:N15)</f>
        <v>117283.55932032134</v>
      </c>
      <c r="T8" s="198">
        <f>SUM('2b - Monthly Balance'!O14:O15)</f>
        <v>117603.55932032134</v>
      </c>
    </row>
    <row r="9" spans="1:21" s="195" customFormat="1" ht="14" thickBot="1">
      <c r="A9" s="192"/>
      <c r="B9" s="190" t="s">
        <v>798</v>
      </c>
      <c r="C9" s="193"/>
      <c r="D9" s="193"/>
      <c r="E9" s="193"/>
      <c r="F9" s="193"/>
      <c r="G9" s="193">
        <f>SUM(G7:G8)</f>
        <v>38268.157468750935</v>
      </c>
      <c r="H9" s="193">
        <f>SUM(H7:H8)</f>
        <v>22848.300000000003</v>
      </c>
      <c r="I9" s="199">
        <f t="shared" ref="I9:O9" si="5">SUM(I7:I8)</f>
        <v>2767.3399999999965</v>
      </c>
      <c r="J9" s="199">
        <f t="shared" si="5"/>
        <v>-2600</v>
      </c>
      <c r="K9" s="199">
        <f t="shared" si="5"/>
        <v>200</v>
      </c>
      <c r="L9" s="199">
        <f t="shared" si="5"/>
        <v>2980.1900000000023</v>
      </c>
      <c r="M9" s="199">
        <f t="shared" si="5"/>
        <v>2134.5200000000041</v>
      </c>
      <c r="N9" s="199">
        <f t="shared" si="5"/>
        <v>2046.7600000000093</v>
      </c>
      <c r="O9" s="199">
        <f t="shared" si="5"/>
        <v>7075.5899999999965</v>
      </c>
      <c r="P9" s="199">
        <f t="shared" ref="P9:R9" si="6">SUM(P7:P8)</f>
        <v>95</v>
      </c>
      <c r="Q9" s="199">
        <f t="shared" si="6"/>
        <v>4973.3899999999994</v>
      </c>
      <c r="R9" s="199">
        <f t="shared" si="6"/>
        <v>221.86999999999534</v>
      </c>
      <c r="S9" s="199">
        <f t="shared" ref="S9:T9" si="7">SUM(S7:S8)</f>
        <v>2633.6399999999994</v>
      </c>
      <c r="T9" s="199">
        <f t="shared" si="7"/>
        <v>320</v>
      </c>
      <c r="U9" s="434"/>
    </row>
    <row r="10" spans="1:21" ht="15" thickTop="1" thickBot="1">
      <c r="B10" s="192" t="s">
        <v>311</v>
      </c>
      <c r="C10" s="69">
        <v>-70078.22</v>
      </c>
      <c r="D10" s="69">
        <v>20304.448697314918</v>
      </c>
      <c r="E10" s="69">
        <v>-14746.260000000009</v>
      </c>
      <c r="F10" s="69">
        <v>110192.63</v>
      </c>
      <c r="G10" s="69">
        <f>G5+G9</f>
        <v>-18358.615819432824</v>
      </c>
      <c r="H10" s="69">
        <f>H5+H9</f>
        <v>-25442.034023561093</v>
      </c>
      <c r="I10" s="76">
        <f>I5+I9</f>
        <v>-18234.98954143202</v>
      </c>
      <c r="J10" s="76">
        <f t="shared" ref="J10:M10" si="8">J5+J9</f>
        <v>249446.39371350291</v>
      </c>
      <c r="K10" s="76">
        <f t="shared" si="8"/>
        <v>-33982.176033157724</v>
      </c>
      <c r="L10" s="76">
        <f t="shared" si="8"/>
        <v>-24142.872075785992</v>
      </c>
      <c r="M10" s="76">
        <f t="shared" si="8"/>
        <v>-16061.743851566378</v>
      </c>
      <c r="N10" s="76">
        <f t="shared" ref="N10" si="9">N5+N9</f>
        <v>-26470.544568360187</v>
      </c>
      <c r="O10" s="76">
        <f t="shared" ref="O10:P10" si="10">O5+O9</f>
        <v>-11004.665652993121</v>
      </c>
      <c r="P10" s="76">
        <f t="shared" si="10"/>
        <v>-6435.5546137800993</v>
      </c>
      <c r="Q10" s="76">
        <f t="shared" ref="Q10:R10" si="11">Q5+Q9</f>
        <v>-47132.504562299364</v>
      </c>
      <c r="R10" s="76">
        <f t="shared" si="11"/>
        <v>-22943.459437403159</v>
      </c>
      <c r="S10" s="76">
        <f t="shared" ref="S10:T10" si="12">S5+S9</f>
        <v>-4038.1497210425878</v>
      </c>
      <c r="T10" s="76">
        <f t="shared" si="12"/>
        <v>-64441.767679243436</v>
      </c>
    </row>
    <row r="11" spans="1:21" s="13" customFormat="1" ht="19" thickTop="1" thickBot="1">
      <c r="A11" s="550" t="s">
        <v>791</v>
      </c>
      <c r="B11" s="550"/>
      <c r="C11" s="70">
        <v>44973.770000000004</v>
      </c>
      <c r="D11" s="70">
        <v>65278.218697314922</v>
      </c>
      <c r="E11" s="70">
        <v>50531.958697314913</v>
      </c>
      <c r="F11" s="70">
        <v>160724.5886973149</v>
      </c>
      <c r="G11" s="169">
        <f>G2+G10</f>
        <v>198853.07603213761</v>
      </c>
      <c r="H11" s="169">
        <f>H2+H10</f>
        <v>173411.04200857639</v>
      </c>
      <c r="I11" s="77">
        <f>I2+I10</f>
        <v>180618.08649070561</v>
      </c>
      <c r="J11" s="77">
        <f t="shared" ref="J11:O11" si="13">J2+J10</f>
        <v>430064.48020420852</v>
      </c>
      <c r="K11" s="77">
        <f t="shared" si="13"/>
        <v>396082.30417105078</v>
      </c>
      <c r="L11" s="77">
        <f t="shared" si="13"/>
        <v>371939.43209526478</v>
      </c>
      <c r="M11" s="77">
        <f t="shared" si="13"/>
        <v>355877.68824369839</v>
      </c>
      <c r="N11" s="77">
        <f t="shared" si="13"/>
        <v>329407.14367533819</v>
      </c>
      <c r="O11" s="77">
        <f t="shared" si="13"/>
        <v>318402.47802234505</v>
      </c>
      <c r="P11" s="77">
        <f t="shared" ref="P11:R11" si="14">P2+P10</f>
        <v>311966.92340856494</v>
      </c>
      <c r="Q11" s="77">
        <f t="shared" si="14"/>
        <v>264834.41884626559</v>
      </c>
      <c r="R11" s="77">
        <f t="shared" si="14"/>
        <v>241890.95940886243</v>
      </c>
      <c r="S11" s="77">
        <f t="shared" ref="S11:T11" si="15">S2+S10</f>
        <v>237852.80968781986</v>
      </c>
      <c r="T11" s="77">
        <f t="shared" si="15"/>
        <v>173411.04200857642</v>
      </c>
      <c r="U11" s="365"/>
    </row>
    <row r="12" spans="1:21" ht="14" thickTop="1">
      <c r="A12" s="51"/>
      <c r="B12" s="52" t="s">
        <v>755</v>
      </c>
      <c r="C12" s="53"/>
      <c r="D12" s="51"/>
      <c r="E12" s="51"/>
      <c r="F12" s="51"/>
      <c r="G12" s="54"/>
      <c r="H12" s="54"/>
      <c r="I12" s="54">
        <v>6.2149999999999999</v>
      </c>
      <c r="J12" s="54">
        <v>6.2778999999999998</v>
      </c>
      <c r="K12" s="54">
        <v>6.2689000000000004</v>
      </c>
      <c r="L12" s="54">
        <v>6.2439</v>
      </c>
      <c r="M12" s="54">
        <v>6.1185999999999998</v>
      </c>
      <c r="N12" s="54">
        <v>6.0525000000000002</v>
      </c>
      <c r="O12" s="54">
        <v>6.0506000000000002</v>
      </c>
      <c r="P12" s="51">
        <v>6.0406000000000004</v>
      </c>
      <c r="Q12" s="51">
        <v>6.0121000000000002</v>
      </c>
      <c r="R12" s="51">
        <v>6.0042999999999997</v>
      </c>
      <c r="S12" s="51">
        <v>6.0045000000000002</v>
      </c>
      <c r="T12" s="51">
        <v>6.0057999999999998</v>
      </c>
    </row>
    <row r="15" spans="1:21" ht="15">
      <c r="B15" s="241" t="s">
        <v>966</v>
      </c>
      <c r="C15" s="242"/>
      <c r="D15" s="243"/>
      <c r="E15" s="243"/>
      <c r="F15" s="243"/>
      <c r="G15" s="241" t="s">
        <v>1189</v>
      </c>
      <c r="H15" s="244">
        <f>H8</f>
        <v>117603.55932032134</v>
      </c>
    </row>
    <row r="16" spans="1:21" ht="15">
      <c r="B16" s="241" t="s">
        <v>1188</v>
      </c>
      <c r="C16" s="242"/>
      <c r="D16" s="243"/>
      <c r="E16" s="243"/>
      <c r="F16" s="243"/>
      <c r="G16" s="241" t="s">
        <v>211</v>
      </c>
      <c r="H16" s="251">
        <f>H11-H15</f>
        <v>55807.482688255055</v>
      </c>
    </row>
    <row r="17" spans="2:8" ht="15">
      <c r="B17" s="241" t="s">
        <v>967</v>
      </c>
      <c r="C17" s="242"/>
      <c r="D17" s="243"/>
      <c r="E17" s="243"/>
      <c r="F17" s="243"/>
      <c r="G17" s="247" t="s">
        <v>1187</v>
      </c>
      <c r="H17" s="244">
        <f>61573+166000</f>
        <v>227573</v>
      </c>
    </row>
    <row r="18" spans="2:8" ht="15">
      <c r="B18" s="241" t="s">
        <v>1186</v>
      </c>
      <c r="C18" s="245"/>
      <c r="D18" s="246"/>
      <c r="E18" s="246"/>
      <c r="F18" s="246"/>
      <c r="G18" s="247" t="s">
        <v>968</v>
      </c>
      <c r="H18" s="248">
        <f>'3 - Grants'!G6+166000+'GRANT REPORT 2013'!C26+'GRANT REPORT 2013'!C27</f>
        <v>226087.11870179826</v>
      </c>
    </row>
    <row r="19" spans="2:8" ht="15">
      <c r="B19" s="249" t="s">
        <v>1190</v>
      </c>
      <c r="C19" s="250"/>
      <c r="D19" s="192"/>
      <c r="E19" s="192"/>
      <c r="F19" s="192"/>
      <c r="G19" s="453" t="s">
        <v>1111</v>
      </c>
      <c r="H19" s="251">
        <f>SUM(H16:H17)-H18</f>
        <v>57293.363986456767</v>
      </c>
    </row>
  </sheetData>
  <mergeCells count="1">
    <mergeCell ref="A11:B11"/>
  </mergeCells>
  <phoneticPr fontId="5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37"/>
  <sheetViews>
    <sheetView workbookViewId="0">
      <selection activeCell="D7" sqref="D7"/>
    </sheetView>
  </sheetViews>
  <sheetFormatPr baseColWidth="10" defaultColWidth="8.83203125" defaultRowHeight="13" x14ac:dyDescent="0"/>
  <cols>
    <col min="1" max="1" width="5.33203125" style="13" customWidth="1"/>
    <col min="2" max="2" width="42" style="13" customWidth="1"/>
    <col min="3" max="3" width="18.5" style="13" customWidth="1"/>
    <col min="4" max="4" width="19.1640625" style="13" bestFit="1" customWidth="1"/>
    <col min="5" max="6" width="13.1640625" style="55" bestFit="1" customWidth="1"/>
    <col min="7" max="16384" width="8.83203125" style="13"/>
  </cols>
  <sheetData>
    <row r="1" spans="1:6" ht="24" customHeight="1">
      <c r="A1" s="551" t="s">
        <v>258</v>
      </c>
      <c r="B1" s="551"/>
      <c r="C1" s="168" t="s">
        <v>341</v>
      </c>
      <c r="D1" s="103" t="s">
        <v>747</v>
      </c>
    </row>
    <row r="2" spans="1:6" s="271" customFormat="1" ht="15">
      <c r="A2" s="488" t="s">
        <v>312</v>
      </c>
      <c r="B2" s="489"/>
      <c r="C2" s="163">
        <v>41274</v>
      </c>
      <c r="D2" s="163">
        <v>41639</v>
      </c>
      <c r="E2" s="487"/>
      <c r="F2" s="487"/>
    </row>
    <row r="3" spans="1:6" s="271" customFormat="1">
      <c r="A3" s="490"/>
      <c r="B3" s="491" t="s">
        <v>313</v>
      </c>
      <c r="C3" s="489"/>
      <c r="E3" s="487"/>
      <c r="F3" s="487"/>
    </row>
    <row r="4" spans="1:6" s="271" customFormat="1">
      <c r="A4" s="490"/>
      <c r="B4" s="492" t="s">
        <v>434</v>
      </c>
      <c r="C4" s="58">
        <v>97076.080000000031</v>
      </c>
      <c r="D4" s="58">
        <f>'2b - Monthly Balance'!O4</f>
        <v>100400.68</v>
      </c>
      <c r="E4" s="487"/>
      <c r="F4" s="487"/>
    </row>
    <row r="5" spans="1:6" s="271" customFormat="1">
      <c r="A5" s="490"/>
      <c r="B5" s="492" t="s">
        <v>541</v>
      </c>
      <c r="C5" s="58">
        <v>64179.66430673773</v>
      </c>
      <c r="D5" s="58">
        <f>'2b - Monthly Balance'!O5</f>
        <v>64655.714880506304</v>
      </c>
      <c r="E5" s="487"/>
      <c r="F5" s="487"/>
    </row>
    <row r="6" spans="1:6" s="271" customFormat="1">
      <c r="A6" s="490"/>
      <c r="B6" s="492" t="s">
        <v>631</v>
      </c>
      <c r="C6" s="58">
        <v>1994.711637896746</v>
      </c>
      <c r="D6" s="58">
        <f>'2b - Monthly Balance'!O6</f>
        <v>1102.4909009909322</v>
      </c>
      <c r="E6" s="487"/>
      <c r="F6" s="487"/>
    </row>
    <row r="7" spans="1:6" s="271" customFormat="1">
      <c r="A7" s="490"/>
      <c r="B7" s="492" t="s">
        <v>542</v>
      </c>
      <c r="C7" s="58">
        <v>35602.620087502975</v>
      </c>
      <c r="D7" s="58">
        <f>'2b - Monthly Balance'!O7</f>
        <v>89.442613872923005</v>
      </c>
      <c r="E7" s="487"/>
      <c r="F7" s="487"/>
    </row>
    <row r="8" spans="1:6" s="271" customFormat="1">
      <c r="A8" s="490"/>
      <c r="B8" s="492" t="s">
        <v>537</v>
      </c>
      <c r="C8" s="58">
        <v>0</v>
      </c>
      <c r="D8" s="58">
        <f>'2b - Monthly Balance'!O8</f>
        <v>7162.7074237437919</v>
      </c>
      <c r="E8" s="487"/>
      <c r="F8" s="487"/>
    </row>
    <row r="9" spans="1:6" s="497" customFormat="1" ht="14" thickBot="1">
      <c r="A9" s="493"/>
      <c r="B9" s="494" t="s">
        <v>314</v>
      </c>
      <c r="C9" s="495">
        <f t="shared" ref="C9" si="0">SUM(C4:C8)</f>
        <v>198853.0760321375</v>
      </c>
      <c r="D9" s="495">
        <f>SUM(D4:D8)</f>
        <v>173411.03581911395</v>
      </c>
      <c r="E9" s="496"/>
      <c r="F9" s="496"/>
    </row>
    <row r="10" spans="1:6" s="271" customFormat="1" ht="16" thickBot="1">
      <c r="A10" s="488" t="s">
        <v>315</v>
      </c>
      <c r="B10" s="489"/>
      <c r="C10" s="498">
        <f t="shared" ref="C10" si="1">C9</f>
        <v>198853.0760321375</v>
      </c>
      <c r="D10" s="498">
        <f>D9</f>
        <v>173411.03581911395</v>
      </c>
      <c r="E10" s="487"/>
      <c r="F10" s="487"/>
    </row>
    <row r="11" spans="1:6" s="271" customFormat="1" ht="14" thickTop="1">
      <c r="A11" s="490"/>
      <c r="B11" s="489"/>
      <c r="C11" s="489"/>
      <c r="D11" s="487"/>
      <c r="E11" s="487"/>
      <c r="F11" s="487"/>
    </row>
    <row r="12" spans="1:6" s="271" customFormat="1" ht="15">
      <c r="A12" s="488" t="s">
        <v>316</v>
      </c>
      <c r="B12" s="489"/>
      <c r="C12" s="489"/>
      <c r="E12" s="487"/>
      <c r="F12" s="487"/>
    </row>
    <row r="13" spans="1:6" s="271" customFormat="1">
      <c r="A13" s="490"/>
      <c r="B13" s="491" t="s">
        <v>317</v>
      </c>
      <c r="C13" s="489"/>
      <c r="D13" s="487"/>
      <c r="E13" s="487"/>
      <c r="F13" s="487"/>
    </row>
    <row r="14" spans="1:6" s="271" customFormat="1">
      <c r="A14" s="490"/>
      <c r="B14" s="492" t="s">
        <v>281</v>
      </c>
      <c r="C14" s="499">
        <v>4580</v>
      </c>
      <c r="D14" s="500">
        <v>0</v>
      </c>
      <c r="E14" s="487"/>
      <c r="F14" s="487"/>
    </row>
    <row r="15" spans="1:6" s="271" customFormat="1">
      <c r="A15" s="490"/>
      <c r="B15" s="492" t="s">
        <v>538</v>
      </c>
      <c r="C15" s="58">
        <v>90175.259320321333</v>
      </c>
      <c r="D15" s="58">
        <f>'2b - Monthly Balance'!O15</f>
        <v>117603.55932032134</v>
      </c>
      <c r="E15" s="501"/>
      <c r="F15" s="487"/>
    </row>
    <row r="16" spans="1:6" s="271" customFormat="1">
      <c r="A16" s="490"/>
      <c r="B16" s="492" t="s">
        <v>632</v>
      </c>
      <c r="C16" s="58">
        <v>120000</v>
      </c>
      <c r="D16" s="58">
        <v>120000</v>
      </c>
      <c r="E16" s="487"/>
      <c r="F16" s="487"/>
    </row>
    <row r="17" spans="1:6" s="497" customFormat="1" ht="14" thickBot="1">
      <c r="A17" s="493"/>
      <c r="B17" s="494" t="s">
        <v>212</v>
      </c>
      <c r="C17" s="495">
        <f>SUM(C14:C16)</f>
        <v>214755.25932032132</v>
      </c>
      <c r="D17" s="495">
        <f>SUM(D14:D16)</f>
        <v>237603.55932032134</v>
      </c>
      <c r="E17" s="496"/>
      <c r="F17" s="496"/>
    </row>
    <row r="18" spans="1:6" s="271" customFormat="1">
      <c r="A18" s="490"/>
      <c r="B18" s="489"/>
      <c r="C18" s="489"/>
      <c r="E18" s="487"/>
      <c r="F18" s="487"/>
    </row>
    <row r="19" spans="1:6" s="271" customFormat="1">
      <c r="A19" s="490"/>
      <c r="B19" s="491" t="s">
        <v>213</v>
      </c>
      <c r="C19" s="489"/>
      <c r="E19" s="487"/>
      <c r="F19" s="487"/>
    </row>
    <row r="20" spans="1:6" s="271" customFormat="1" hidden="1">
      <c r="A20" s="490"/>
      <c r="B20" s="492" t="s">
        <v>633</v>
      </c>
      <c r="C20" s="502">
        <v>-4948.01</v>
      </c>
      <c r="E20" s="487"/>
      <c r="F20" s="487"/>
    </row>
    <row r="21" spans="1:6" s="271" customFormat="1" hidden="1">
      <c r="A21" s="490"/>
      <c r="B21" s="492" t="s">
        <v>214</v>
      </c>
      <c r="C21" s="502">
        <v>-70478.22</v>
      </c>
      <c r="E21" s="487"/>
      <c r="F21" s="487"/>
    </row>
    <row r="22" spans="1:6" s="271" customFormat="1" hidden="1">
      <c r="A22" s="490"/>
      <c r="B22" s="492" t="s">
        <v>215</v>
      </c>
      <c r="C22" s="58">
        <v>20304.448697314918</v>
      </c>
      <c r="E22" s="487"/>
      <c r="F22" s="487"/>
    </row>
    <row r="23" spans="1:6" s="271" customFormat="1" hidden="1">
      <c r="A23" s="490"/>
      <c r="B23" s="492" t="s">
        <v>322</v>
      </c>
      <c r="C23" s="502">
        <v>-14346.260000000009</v>
      </c>
      <c r="E23" s="487"/>
      <c r="F23" s="487"/>
    </row>
    <row r="24" spans="1:6" s="271" customFormat="1" hidden="1">
      <c r="A24" s="490"/>
      <c r="B24" s="492" t="s">
        <v>323</v>
      </c>
      <c r="C24" s="58">
        <v>110192.63</v>
      </c>
      <c r="E24" s="487"/>
      <c r="F24" s="487"/>
    </row>
    <row r="25" spans="1:6" s="271" customFormat="1" hidden="1">
      <c r="A25" s="490"/>
      <c r="B25" s="492" t="s">
        <v>634</v>
      </c>
      <c r="C25" s="502">
        <v>-56760.235896671307</v>
      </c>
      <c r="E25" s="487"/>
      <c r="F25" s="487"/>
    </row>
    <row r="26" spans="1:6" s="271" customFormat="1">
      <c r="A26" s="490"/>
      <c r="B26" s="492" t="s">
        <v>682</v>
      </c>
      <c r="C26" s="166">
        <v>-15902.183288183835</v>
      </c>
      <c r="D26" s="166">
        <f>C26</f>
        <v>-15902.183288183835</v>
      </c>
      <c r="E26" s="487"/>
      <c r="F26" s="487"/>
    </row>
    <row r="27" spans="1:6" s="271" customFormat="1">
      <c r="A27" s="490"/>
      <c r="B27" s="492" t="s">
        <v>1097</v>
      </c>
      <c r="C27" s="166"/>
      <c r="D27" s="469">
        <f>'2b - Monthly Balance'!O39-'2b - Monthly Balance'!N26</f>
        <v>-48290.340213023534</v>
      </c>
      <c r="E27" s="487"/>
      <c r="F27" s="487"/>
    </row>
    <row r="28" spans="1:6" s="497" customFormat="1" ht="14" thickBot="1">
      <c r="A28" s="493"/>
      <c r="B28" s="494" t="s">
        <v>324</v>
      </c>
      <c r="C28" s="167">
        <f>SUM(C26:C26)</f>
        <v>-15902.183288183835</v>
      </c>
      <c r="D28" s="167">
        <f>SUM(D26:D27)</f>
        <v>-64192.523501207368</v>
      </c>
      <c r="E28" s="496"/>
      <c r="F28" s="496"/>
    </row>
    <row r="29" spans="1:6" s="271" customFormat="1" ht="16" thickBot="1">
      <c r="A29" s="488" t="s">
        <v>332</v>
      </c>
      <c r="B29" s="503"/>
      <c r="C29" s="498">
        <f>C17+C28</f>
        <v>198853.0760321375</v>
      </c>
      <c r="D29" s="498">
        <f>D17+D28</f>
        <v>173411.03581911395</v>
      </c>
      <c r="E29" s="487"/>
      <c r="F29" s="487"/>
    </row>
    <row r="30" spans="1:6" s="271" customFormat="1" ht="14" thickTop="1">
      <c r="E30" s="487"/>
      <c r="F30" s="487"/>
    </row>
    <row r="33" spans="3:4">
      <c r="C33" s="55"/>
    </row>
    <row r="34" spans="3:4">
      <c r="C34" s="55"/>
      <c r="D34" s="55"/>
    </row>
    <row r="35" spans="3:4">
      <c r="C35" s="55"/>
      <c r="D35" s="55"/>
    </row>
    <row r="37" spans="3:4">
      <c r="D37" s="55"/>
    </row>
  </sheetData>
  <mergeCells count="1">
    <mergeCell ref="A1:B1"/>
  </mergeCells>
  <phoneticPr fontId="51" type="noConversion"/>
  <printOptions gridLines="1"/>
  <pageMargins left="0.7" right="0.7" top="0.75" bottom="0.75" header="0.3" footer="0.3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Q48"/>
  <sheetViews>
    <sheetView zoomScale="85" zoomScaleNormal="85" zoomScalePageLayoutView="85" workbookViewId="0">
      <pane xSplit="2" topLeftCell="J1" activePane="topRight" state="frozen"/>
      <selection pane="topRight" activeCell="O7" sqref="O7"/>
    </sheetView>
  </sheetViews>
  <sheetFormatPr baseColWidth="10" defaultColWidth="8.83203125" defaultRowHeight="14" x14ac:dyDescent="0"/>
  <cols>
    <col min="1" max="1" width="5.33203125" customWidth="1"/>
    <col min="2" max="2" width="42" customWidth="1"/>
    <col min="3" max="3" width="18.5" customWidth="1"/>
    <col min="4" max="4" width="16" bestFit="1" customWidth="1"/>
    <col min="5" max="5" width="16.83203125" bestFit="1" customWidth="1"/>
    <col min="6" max="6" width="14.33203125" style="57" bestFit="1" customWidth="1"/>
    <col min="7" max="7" width="14" bestFit="1" customWidth="1"/>
    <col min="8" max="9" width="13.1640625" bestFit="1" customWidth="1"/>
    <col min="10" max="11" width="16" customWidth="1"/>
    <col min="12" max="12" width="20.33203125" bestFit="1" customWidth="1"/>
    <col min="13" max="13" width="16" customWidth="1"/>
    <col min="14" max="15" width="19.6640625" bestFit="1" customWidth="1"/>
    <col min="16" max="16" width="12.1640625" style="362" bestFit="1" customWidth="1"/>
    <col min="17" max="17" width="8.83203125" style="362"/>
  </cols>
  <sheetData>
    <row r="1" spans="1:17" ht="24" customHeight="1">
      <c r="A1" s="56"/>
      <c r="B1" s="145" t="s">
        <v>342</v>
      </c>
      <c r="C1" s="84"/>
      <c r="O1" s="103" t="s">
        <v>747</v>
      </c>
    </row>
    <row r="2" spans="1:17" s="164" customFormat="1" ht="15">
      <c r="A2" s="488" t="s">
        <v>312</v>
      </c>
      <c r="B2" s="489"/>
      <c r="C2" s="163">
        <v>41274</v>
      </c>
      <c r="D2" s="163">
        <v>41305</v>
      </c>
      <c r="E2" s="163">
        <v>41333</v>
      </c>
      <c r="F2" s="163">
        <v>41364</v>
      </c>
      <c r="G2" s="163">
        <v>41394</v>
      </c>
      <c r="H2" s="163">
        <v>41425</v>
      </c>
      <c r="I2" s="163">
        <v>41455</v>
      </c>
      <c r="J2" s="163">
        <v>41486</v>
      </c>
      <c r="K2" s="163">
        <v>41517</v>
      </c>
      <c r="L2" s="163">
        <v>41547</v>
      </c>
      <c r="M2" s="163">
        <v>41578</v>
      </c>
      <c r="N2" s="163">
        <v>41608</v>
      </c>
      <c r="O2" s="163">
        <v>41639</v>
      </c>
      <c r="P2" s="470"/>
      <c r="Q2" s="470"/>
    </row>
    <row r="3" spans="1:17" s="164" customFormat="1">
      <c r="A3" s="490"/>
      <c r="B3" s="491" t="s">
        <v>313</v>
      </c>
      <c r="C3" s="489"/>
      <c r="F3" s="58"/>
      <c r="P3" s="470"/>
      <c r="Q3" s="470"/>
    </row>
    <row r="4" spans="1:17" s="164" customFormat="1">
      <c r="A4" s="490"/>
      <c r="B4" s="492" t="s">
        <v>434</v>
      </c>
      <c r="C4" s="58">
        <v>97076.080000000031</v>
      </c>
      <c r="D4" s="58">
        <f>'11 - 2013 Bank Balance'!O129</f>
        <v>90296.08</v>
      </c>
      <c r="E4" s="58">
        <f>'11 - 2013 Bank Balance'!O141</f>
        <v>353505.94</v>
      </c>
      <c r="F4" s="58">
        <f>'11 - 2013 Bank Balance'!O152</f>
        <v>295418.09999999998</v>
      </c>
      <c r="G4" s="58">
        <f>'11 - 2013 Bank Balance'!O162</f>
        <v>285387.68</v>
      </c>
      <c r="H4" s="58">
        <f>'11 - 2013 Bank Balance'!O172</f>
        <v>284892.68</v>
      </c>
      <c r="I4" s="58">
        <f>'11 - 2013 Bank Balance'!O182</f>
        <v>284692.68</v>
      </c>
      <c r="J4" s="58">
        <f>'11 - 2013 Bank Balance'!O192</f>
        <v>284492.68</v>
      </c>
      <c r="K4" s="58">
        <f>'11 - 2013 Bank Balance'!O202</f>
        <v>233840.68</v>
      </c>
      <c r="L4" s="58">
        <f>'11 - 2013 Bank Balance'!O212</f>
        <v>218940.68</v>
      </c>
      <c r="M4" s="58">
        <f>'11 - 2013 Bank Balance'!O222</f>
        <v>118895.67999999999</v>
      </c>
      <c r="N4" s="58">
        <f>'11 - 2013 Bank Balance'!O232</f>
        <v>118695.67999999999</v>
      </c>
      <c r="O4" s="58">
        <f>'11 - 2013 Bank Balance'!O242</f>
        <v>100400.68</v>
      </c>
      <c r="P4" s="470"/>
      <c r="Q4" s="470"/>
    </row>
    <row r="5" spans="1:17" s="164" customFormat="1">
      <c r="A5" s="490"/>
      <c r="B5" s="492" t="s">
        <v>541</v>
      </c>
      <c r="C5" s="58">
        <v>64179.66430673773</v>
      </c>
      <c r="D5" s="58">
        <f>'11 - 2013 Bank Balance'!O126</f>
        <v>52918.98954143202</v>
      </c>
      <c r="E5" s="58">
        <f>'11 - 2013 Bank Balance'!O138</f>
        <v>31605.951034581627</v>
      </c>
      <c r="F5" s="58">
        <f>'11 - 2013 Bank Balance'!O149</f>
        <v>10725.597792276158</v>
      </c>
      <c r="G5" s="58">
        <f>'11 - 2013 Bank Balance'!O159</f>
        <v>10192.632809622193</v>
      </c>
      <c r="H5" s="58">
        <f>'11 - 2013 Bank Balance'!O169</f>
        <v>9351.3042199195916</v>
      </c>
      <c r="I5" s="58">
        <f>'11 - 2013 Bank Balance'!O179</f>
        <v>25066.783973564645</v>
      </c>
      <c r="J5" s="58">
        <f>'11 - 2013 Bank Balance'!O189</f>
        <v>24316.026509767627</v>
      </c>
      <c r="K5" s="58">
        <f>'11 - 2013 Bank Balance'!O199</f>
        <v>23037.66347713803</v>
      </c>
      <c r="L5" s="58">
        <f>'11 - 2013 Bank Balance'!O209</f>
        <v>11788.328537449477</v>
      </c>
      <c r="M5" s="58">
        <f>'11 - 2013 Bank Balance'!O219</f>
        <v>104598.93243175725</v>
      </c>
      <c r="N5" s="58">
        <f>'11 - 2013 Bank Balance'!O229</f>
        <v>103826.91148305437</v>
      </c>
      <c r="O5" s="58">
        <f>'11 - 2013 Bank Balance'!O239</f>
        <v>64655.714880506304</v>
      </c>
      <c r="P5" s="470"/>
      <c r="Q5" s="470"/>
    </row>
    <row r="6" spans="1:17" s="164" customFormat="1">
      <c r="A6" s="490"/>
      <c r="B6" s="492" t="s">
        <v>631</v>
      </c>
      <c r="C6" s="58">
        <v>1994.711637896746</v>
      </c>
      <c r="D6" s="58">
        <f>'11 - 2013 Bank Balance'!O127</f>
        <v>1998.3742638777155</v>
      </c>
      <c r="E6" s="58">
        <f>'11 - 2013 Bank Balance'!O139</f>
        <v>994.31633396517975</v>
      </c>
      <c r="F6" s="58">
        <f>'11 - 2013 Bank Balance'!O150</f>
        <v>50964.503387037599</v>
      </c>
      <c r="G6" s="58">
        <f>'11 - 2013 Bank Balance'!O160</f>
        <v>37673.421824981189</v>
      </c>
      <c r="H6" s="58">
        <f>'11 - 2013 Bank Balance'!O170</f>
        <v>26024.645236165143</v>
      </c>
      <c r="I6" s="58">
        <f>'11 - 2013 Bank Balance'!O180</f>
        <v>6856.4753696819553</v>
      </c>
      <c r="J6" s="58">
        <f>'11 - 2013 Bank Balance'!O190</f>
        <v>48.633917628009641</v>
      </c>
      <c r="K6" s="58">
        <f>'11 - 2013 Bank Balance'!O200</f>
        <v>1109.6993149687169</v>
      </c>
      <c r="L6" s="58">
        <f>'11 - 2013 Bank Balance'!O210</f>
        <v>24.122650488187347</v>
      </c>
      <c r="M6" s="58">
        <f>'11 - 2013 Bank Balance'!O220</f>
        <v>24.152077844216837</v>
      </c>
      <c r="N6" s="58">
        <f>'11 - 2013 Bank Balance'!O230</f>
        <v>5063.6067307852509</v>
      </c>
      <c r="O6" s="58">
        <f>'11 - 2013 Bank Balance'!O240</f>
        <v>1102.4909009909322</v>
      </c>
      <c r="P6" s="470"/>
      <c r="Q6" s="470"/>
    </row>
    <row r="7" spans="1:17" s="164" customFormat="1">
      <c r="A7" s="490"/>
      <c r="B7" s="492" t="s">
        <v>542</v>
      </c>
      <c r="C7" s="58">
        <v>35602.620087502975</v>
      </c>
      <c r="D7" s="58">
        <f>'11 - 2013 Bank Balance'!O128</f>
        <v>35609.606564762675</v>
      </c>
      <c r="E7" s="58">
        <f>'11 - 2013 Bank Balance'!O140</f>
        <v>35603.365693623666</v>
      </c>
      <c r="F7" s="58">
        <f>'11 - 2013 Bank Balance'!O151</f>
        <v>35609.444700186636</v>
      </c>
      <c r="G7" s="58">
        <f>'11 - 2013 Bank Balance'!O161</f>
        <v>35611.919734620991</v>
      </c>
      <c r="H7" s="58">
        <f>'11 - 2013 Bank Balance'!O171</f>
        <v>35624.629325989605</v>
      </c>
      <c r="I7" s="58">
        <f>'11 - 2013 Bank Balance'!O181</f>
        <v>19470.64997934737</v>
      </c>
      <c r="J7" s="58">
        <f>'11 - 2013 Bank Balance'!O191</f>
        <v>16171.305682081113</v>
      </c>
      <c r="K7" s="58">
        <f>'11 - 2013 Bank Balance'!O201</f>
        <v>51464.435016389092</v>
      </c>
      <c r="L7" s="58">
        <f>'11 - 2013 Bank Balance'!O211</f>
        <v>33104.190973370365</v>
      </c>
      <c r="M7" s="58">
        <f>'11 - 2013 Bank Balance'!O221</f>
        <v>18204.237585230578</v>
      </c>
      <c r="N7" s="58">
        <f>'11 - 2013 Bank Balance'!O231</f>
        <v>8302.5709709384573</v>
      </c>
      <c r="O7" s="58">
        <f>'11 - 2013 Bank Balance'!O241</f>
        <v>89.442613872923005</v>
      </c>
      <c r="P7" s="470"/>
      <c r="Q7" s="470"/>
    </row>
    <row r="8" spans="1:17" s="164" customFormat="1">
      <c r="A8" s="490"/>
      <c r="B8" s="492" t="s">
        <v>537</v>
      </c>
      <c r="C8" s="58">
        <v>0</v>
      </c>
      <c r="D8" s="58">
        <f>D40-SUM(D4:D7)</f>
        <v>-204.96387936692918</v>
      </c>
      <c r="E8" s="58">
        <f t="shared" ref="E8:L8" si="0">E40-SUM(E4:E7)</f>
        <v>8354.9071420379332</v>
      </c>
      <c r="F8" s="58">
        <f t="shared" si="0"/>
        <v>3364.6582915502368</v>
      </c>
      <c r="G8" s="58">
        <f t="shared" si="0"/>
        <v>3073.77772604028</v>
      </c>
      <c r="H8" s="58">
        <f t="shared" si="0"/>
        <v>-15.570538375992328</v>
      </c>
      <c r="I8" s="58">
        <f t="shared" si="0"/>
        <v>-6679.4456472558086</v>
      </c>
      <c r="J8" s="58">
        <f t="shared" si="0"/>
        <v>-6626.1680871317512</v>
      </c>
      <c r="K8" s="58">
        <f t="shared" si="0"/>
        <v>2514.4490755516454</v>
      </c>
      <c r="L8" s="58">
        <f t="shared" si="0"/>
        <v>977.09904818318319</v>
      </c>
      <c r="M8" s="58">
        <f>M40-SUM(M4:M7)</f>
        <v>167.95659962829086</v>
      </c>
      <c r="N8" s="58">
        <f t="shared" ref="N8" si="1">N40-SUM(N4:N7)</f>
        <v>1964.0397886397259</v>
      </c>
      <c r="O8" s="58">
        <f t="shared" ref="O8" si="2">O40-SUM(O4:O7)</f>
        <v>7162.7074237437919</v>
      </c>
      <c r="P8" s="470"/>
      <c r="Q8" s="470"/>
    </row>
    <row r="9" spans="1:17" s="505" customFormat="1" ht="15" thickBot="1">
      <c r="A9" s="493"/>
      <c r="B9" s="494" t="s">
        <v>314</v>
      </c>
      <c r="C9" s="495">
        <f t="shared" ref="C9:J9" si="3">SUM(C4:C8)</f>
        <v>198853.0760321375</v>
      </c>
      <c r="D9" s="495">
        <f>SUM(D4:D8)</f>
        <v>180618.08649070549</v>
      </c>
      <c r="E9" s="495">
        <f t="shared" si="3"/>
        <v>430064.4802042084</v>
      </c>
      <c r="F9" s="495">
        <f t="shared" si="3"/>
        <v>396082.30417105067</v>
      </c>
      <c r="G9" s="495">
        <f t="shared" si="3"/>
        <v>371939.43209526467</v>
      </c>
      <c r="H9" s="495">
        <f t="shared" si="3"/>
        <v>355877.68824369833</v>
      </c>
      <c r="I9" s="495">
        <f t="shared" si="3"/>
        <v>329407.14367533813</v>
      </c>
      <c r="J9" s="495">
        <f t="shared" si="3"/>
        <v>318402.47802234499</v>
      </c>
      <c r="K9" s="495">
        <f>SUM(K4:K8)</f>
        <v>311966.92688404751</v>
      </c>
      <c r="L9" s="495">
        <f t="shared" ref="L9:M9" si="4">SUM(L4:L8)</f>
        <v>264834.42120949121</v>
      </c>
      <c r="M9" s="495">
        <f t="shared" si="4"/>
        <v>241890.95869446034</v>
      </c>
      <c r="N9" s="495">
        <f t="shared" ref="N9:O9" si="5">SUM(N4:N8)</f>
        <v>237852.80897341779</v>
      </c>
      <c r="O9" s="495">
        <f t="shared" si="5"/>
        <v>173411.03581911395</v>
      </c>
      <c r="P9" s="504"/>
      <c r="Q9" s="504"/>
    </row>
    <row r="10" spans="1:17" s="164" customFormat="1" ht="16" thickBot="1">
      <c r="A10" s="488" t="s">
        <v>315</v>
      </c>
      <c r="B10" s="489"/>
      <c r="C10" s="498">
        <f t="shared" ref="C10:I10" si="6">C9</f>
        <v>198853.0760321375</v>
      </c>
      <c r="D10" s="498">
        <f t="shared" si="6"/>
        <v>180618.08649070549</v>
      </c>
      <c r="E10" s="498">
        <f t="shared" si="6"/>
        <v>430064.4802042084</v>
      </c>
      <c r="F10" s="498">
        <f t="shared" si="6"/>
        <v>396082.30417105067</v>
      </c>
      <c r="G10" s="498">
        <f t="shared" si="6"/>
        <v>371939.43209526467</v>
      </c>
      <c r="H10" s="498">
        <f t="shared" si="6"/>
        <v>355877.68824369833</v>
      </c>
      <c r="I10" s="498">
        <f t="shared" si="6"/>
        <v>329407.14367533813</v>
      </c>
      <c r="J10" s="498">
        <f t="shared" ref="J10:K10" si="7">J9</f>
        <v>318402.47802234499</v>
      </c>
      <c r="K10" s="498">
        <f t="shared" si="7"/>
        <v>311966.92688404751</v>
      </c>
      <c r="L10" s="498">
        <f t="shared" ref="L10:M10" si="8">L9</f>
        <v>264834.42120949121</v>
      </c>
      <c r="M10" s="498">
        <f t="shared" si="8"/>
        <v>241890.95869446034</v>
      </c>
      <c r="N10" s="498">
        <f t="shared" ref="N10:O10" si="9">N9</f>
        <v>237852.80897341779</v>
      </c>
      <c r="O10" s="498">
        <f t="shared" si="9"/>
        <v>173411.03581911395</v>
      </c>
      <c r="P10" s="470"/>
      <c r="Q10" s="470"/>
    </row>
    <row r="11" spans="1:17" s="164" customFormat="1" ht="15" thickTop="1">
      <c r="A11" s="490"/>
      <c r="B11" s="489"/>
      <c r="C11" s="489"/>
      <c r="D11" s="165"/>
      <c r="E11" s="165"/>
      <c r="F11" s="165"/>
      <c r="G11" s="165"/>
      <c r="H11" s="165"/>
      <c r="I11" s="165"/>
      <c r="J11" s="165"/>
      <c r="K11" s="506">
        <v>6.0406000000000004</v>
      </c>
      <c r="L11" s="506">
        <v>6.0121000000000002</v>
      </c>
      <c r="M11" s="506">
        <v>6.0042999999999997</v>
      </c>
      <c r="N11" s="506">
        <v>6.0045000000000002</v>
      </c>
      <c r="O11" s="506">
        <v>6.0057999999999998</v>
      </c>
      <c r="P11" s="470"/>
      <c r="Q11" s="470"/>
    </row>
    <row r="12" spans="1:17" s="164" customFormat="1" ht="15">
      <c r="A12" s="488" t="s">
        <v>316</v>
      </c>
      <c r="B12" s="489"/>
      <c r="C12" s="489"/>
      <c r="F12" s="58"/>
      <c r="P12" s="470"/>
      <c r="Q12" s="470"/>
    </row>
    <row r="13" spans="1:17" s="164" customFormat="1">
      <c r="A13" s="490"/>
      <c r="B13" s="491" t="s">
        <v>317</v>
      </c>
      <c r="C13" s="489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470"/>
      <c r="Q13" s="470"/>
    </row>
    <row r="14" spans="1:17" s="164" customFormat="1">
      <c r="A14" s="490"/>
      <c r="B14" s="492" t="s">
        <v>281</v>
      </c>
      <c r="C14" s="499">
        <v>4580</v>
      </c>
      <c r="D14" s="507">
        <v>2800</v>
      </c>
      <c r="E14" s="507">
        <v>0</v>
      </c>
      <c r="F14" s="507">
        <v>0</v>
      </c>
      <c r="G14" s="507">
        <v>0</v>
      </c>
      <c r="H14" s="507">
        <v>0</v>
      </c>
      <c r="I14" s="507">
        <v>0</v>
      </c>
      <c r="J14" s="507">
        <v>0</v>
      </c>
      <c r="K14" s="507">
        <v>0</v>
      </c>
      <c r="L14" s="507">
        <v>0</v>
      </c>
      <c r="M14" s="507">
        <v>0</v>
      </c>
      <c r="N14" s="507">
        <v>0</v>
      </c>
      <c r="O14" s="507">
        <v>0</v>
      </c>
      <c r="P14" s="470"/>
      <c r="Q14" s="470"/>
    </row>
    <row r="15" spans="1:17" s="164" customFormat="1">
      <c r="A15" s="490"/>
      <c r="B15" s="492" t="s">
        <v>538</v>
      </c>
      <c r="C15" s="58">
        <v>90175.259320321333</v>
      </c>
      <c r="D15" s="58">
        <f>C15+'8 - Detailed Expenses'!$D667</f>
        <v>94722.599320321329</v>
      </c>
      <c r="E15" s="58">
        <f>D15+'8 - Detailed Expenses'!$D668</f>
        <v>94922.599320321329</v>
      </c>
      <c r="F15" s="58">
        <f>E15+'8 - Detailed Expenses'!$D669</f>
        <v>95122.599320321329</v>
      </c>
      <c r="G15" s="58">
        <f>F15+'8 - Detailed Expenses'!$D670</f>
        <v>98102.789320321332</v>
      </c>
      <c r="H15" s="58">
        <f>G15+'8 - Detailed Expenses'!$D671</f>
        <v>100237.30932032134</v>
      </c>
      <c r="I15" s="58">
        <f>H15+'8 - Detailed Expenses'!$D672</f>
        <v>102284.06932032135</v>
      </c>
      <c r="J15" s="58">
        <f>I15+'8 - Detailed Expenses'!$D673</f>
        <v>109359.65932032134</v>
      </c>
      <c r="K15" s="58">
        <f>J15+'8 - Detailed Expenses'!$D674</f>
        <v>109454.65932032134</v>
      </c>
      <c r="L15" s="58">
        <f>K15+'8 - Detailed Expenses'!$D675</f>
        <v>114428.04932032134</v>
      </c>
      <c r="M15" s="58">
        <f>L15+'8 - Detailed Expenses'!$D676</f>
        <v>114649.91932032134</v>
      </c>
      <c r="N15" s="58">
        <f>M15+'8 - Detailed Expenses'!$D677</f>
        <v>117283.55932032134</v>
      </c>
      <c r="O15" s="58">
        <f>N15+'8 - Detailed Expenses'!$D678</f>
        <v>117603.55932032134</v>
      </c>
      <c r="P15" s="470"/>
      <c r="Q15" s="470"/>
    </row>
    <row r="16" spans="1:17" s="164" customFormat="1">
      <c r="A16" s="490"/>
      <c r="B16" s="492" t="s">
        <v>632</v>
      </c>
      <c r="C16" s="58">
        <v>120000</v>
      </c>
      <c r="D16" s="58">
        <v>120000</v>
      </c>
      <c r="E16" s="58">
        <v>120000</v>
      </c>
      <c r="F16" s="58">
        <v>120000</v>
      </c>
      <c r="G16" s="58">
        <v>120000</v>
      </c>
      <c r="H16" s="58">
        <v>120000</v>
      </c>
      <c r="I16" s="58">
        <v>120000</v>
      </c>
      <c r="J16" s="58">
        <v>120000</v>
      </c>
      <c r="K16" s="58">
        <v>120000</v>
      </c>
      <c r="L16" s="58">
        <v>120000</v>
      </c>
      <c r="M16" s="58">
        <v>120000</v>
      </c>
      <c r="N16" s="58">
        <v>120000</v>
      </c>
      <c r="O16" s="58">
        <v>120000</v>
      </c>
      <c r="P16" s="470"/>
      <c r="Q16" s="470"/>
    </row>
    <row r="17" spans="1:17" s="505" customFormat="1" ht="15" thickBot="1">
      <c r="A17" s="493"/>
      <c r="B17" s="494" t="s">
        <v>212</v>
      </c>
      <c r="C17" s="495">
        <f>SUM(C14:C16)</f>
        <v>214755.25932032132</v>
      </c>
      <c r="D17" s="495">
        <f>SUM(D13:D16)</f>
        <v>217522.59932032134</v>
      </c>
      <c r="E17" s="495">
        <f t="shared" ref="E17:J17" si="10">SUM(E15:E16)</f>
        <v>214922.59932032134</v>
      </c>
      <c r="F17" s="495">
        <f t="shared" si="10"/>
        <v>215122.59932032134</v>
      </c>
      <c r="G17" s="495">
        <f t="shared" si="10"/>
        <v>218102.78932032135</v>
      </c>
      <c r="H17" s="495">
        <f t="shared" si="10"/>
        <v>220237.30932032134</v>
      </c>
      <c r="I17" s="495">
        <f t="shared" si="10"/>
        <v>222284.06932032135</v>
      </c>
      <c r="J17" s="495">
        <f t="shared" si="10"/>
        <v>229359.65932032134</v>
      </c>
      <c r="K17" s="495">
        <f t="shared" ref="K17:M17" si="11">SUM(K15:K16)</f>
        <v>229454.65932032134</v>
      </c>
      <c r="L17" s="495">
        <f t="shared" si="11"/>
        <v>234428.04932032136</v>
      </c>
      <c r="M17" s="495">
        <f t="shared" si="11"/>
        <v>234649.91932032135</v>
      </c>
      <c r="N17" s="495">
        <f t="shared" ref="N17:O17" si="12">SUM(N15:N16)</f>
        <v>237283.55932032134</v>
      </c>
      <c r="O17" s="495">
        <f t="shared" si="12"/>
        <v>237603.55932032134</v>
      </c>
      <c r="P17" s="504"/>
      <c r="Q17" s="504"/>
    </row>
    <row r="18" spans="1:17" s="164" customFormat="1">
      <c r="A18" s="490"/>
      <c r="B18" s="489"/>
      <c r="C18" s="489"/>
      <c r="F18" s="58"/>
      <c r="P18" s="470"/>
      <c r="Q18" s="470"/>
    </row>
    <row r="19" spans="1:17" s="164" customFormat="1">
      <c r="A19" s="490"/>
      <c r="B19" s="491" t="s">
        <v>213</v>
      </c>
      <c r="C19" s="489"/>
      <c r="F19" s="58"/>
      <c r="P19" s="470"/>
      <c r="Q19" s="470"/>
    </row>
    <row r="20" spans="1:17" s="164" customFormat="1" hidden="1">
      <c r="A20" s="490"/>
      <c r="B20" s="492" t="s">
        <v>633</v>
      </c>
      <c r="C20" s="502">
        <v>-4948.01</v>
      </c>
      <c r="D20" s="502"/>
      <c r="F20" s="58"/>
      <c r="P20" s="470"/>
      <c r="Q20" s="470"/>
    </row>
    <row r="21" spans="1:17" s="164" customFormat="1" hidden="1">
      <c r="A21" s="490"/>
      <c r="B21" s="492" t="s">
        <v>214</v>
      </c>
      <c r="C21" s="502">
        <v>-70478.22</v>
      </c>
      <c r="D21" s="502"/>
      <c r="F21" s="58"/>
      <c r="P21" s="470"/>
      <c r="Q21" s="470"/>
    </row>
    <row r="22" spans="1:17" s="164" customFormat="1" hidden="1">
      <c r="A22" s="490"/>
      <c r="B22" s="492" t="s">
        <v>215</v>
      </c>
      <c r="C22" s="58">
        <v>20304.448697314918</v>
      </c>
      <c r="D22" s="58"/>
      <c r="F22" s="58"/>
      <c r="P22" s="470"/>
      <c r="Q22" s="470"/>
    </row>
    <row r="23" spans="1:17" s="164" customFormat="1" hidden="1">
      <c r="A23" s="490"/>
      <c r="B23" s="492" t="s">
        <v>322</v>
      </c>
      <c r="C23" s="502">
        <v>-14346.260000000009</v>
      </c>
      <c r="D23" s="502"/>
      <c r="F23" s="58"/>
      <c r="P23" s="470"/>
      <c r="Q23" s="470"/>
    </row>
    <row r="24" spans="1:17" s="164" customFormat="1" hidden="1">
      <c r="A24" s="490"/>
      <c r="B24" s="492" t="s">
        <v>323</v>
      </c>
      <c r="C24" s="58">
        <v>110192.63</v>
      </c>
      <c r="D24" s="58"/>
      <c r="F24" s="58"/>
      <c r="P24" s="470"/>
      <c r="Q24" s="470"/>
    </row>
    <row r="25" spans="1:17" s="164" customFormat="1" hidden="1">
      <c r="A25" s="490"/>
      <c r="B25" s="492" t="s">
        <v>634</v>
      </c>
      <c r="C25" s="502">
        <v>-56760.235896671307</v>
      </c>
      <c r="D25" s="502"/>
      <c r="F25" s="58"/>
      <c r="P25" s="470"/>
      <c r="Q25" s="470"/>
    </row>
    <row r="26" spans="1:17" s="164" customFormat="1">
      <c r="A26" s="490"/>
      <c r="B26" s="492" t="s">
        <v>682</v>
      </c>
      <c r="C26" s="166">
        <v>-15902.183288183835</v>
      </c>
      <c r="D26" s="166">
        <f>C26</f>
        <v>-15902.183288183835</v>
      </c>
      <c r="E26" s="166">
        <f>D26</f>
        <v>-15902.183288183835</v>
      </c>
      <c r="F26" s="166">
        <f t="shared" ref="F26:I26" si="13">E26</f>
        <v>-15902.183288183835</v>
      </c>
      <c r="G26" s="166">
        <f t="shared" si="13"/>
        <v>-15902.183288183835</v>
      </c>
      <c r="H26" s="166">
        <f t="shared" si="13"/>
        <v>-15902.183288183835</v>
      </c>
      <c r="I26" s="166">
        <f t="shared" si="13"/>
        <v>-15902.183288183835</v>
      </c>
      <c r="J26" s="166">
        <f t="shared" ref="J26:O26" si="14">I26</f>
        <v>-15902.183288183835</v>
      </c>
      <c r="K26" s="166">
        <f t="shared" si="14"/>
        <v>-15902.183288183835</v>
      </c>
      <c r="L26" s="166">
        <f t="shared" si="14"/>
        <v>-15902.183288183835</v>
      </c>
      <c r="M26" s="166">
        <f t="shared" si="14"/>
        <v>-15902.183288183835</v>
      </c>
      <c r="N26" s="166">
        <f t="shared" si="14"/>
        <v>-15902.183288183835</v>
      </c>
      <c r="O26" s="166">
        <f t="shared" si="14"/>
        <v>-15902.183288183835</v>
      </c>
      <c r="P26" s="470"/>
      <c r="Q26" s="470"/>
    </row>
    <row r="27" spans="1:17" s="164" customFormat="1">
      <c r="A27" s="490"/>
      <c r="B27" s="492" t="s">
        <v>683</v>
      </c>
      <c r="C27" s="166"/>
      <c r="D27" s="166">
        <f>'12 - Equity Statement'!I8</f>
        <v>-21002.329541432016</v>
      </c>
      <c r="E27" s="166">
        <f>D27</f>
        <v>-21002.329541432016</v>
      </c>
      <c r="F27" s="166">
        <f t="shared" ref="F27:F28" si="15">E27</f>
        <v>-21002.329541432016</v>
      </c>
      <c r="G27" s="166">
        <f t="shared" ref="G27:I27" si="16">F27</f>
        <v>-21002.329541432016</v>
      </c>
      <c r="H27" s="166">
        <f t="shared" si="16"/>
        <v>-21002.329541432016</v>
      </c>
      <c r="I27" s="166">
        <f t="shared" si="16"/>
        <v>-21002.329541432016</v>
      </c>
      <c r="J27" s="166">
        <f t="shared" ref="J27:O27" si="17">I27</f>
        <v>-21002.329541432016</v>
      </c>
      <c r="K27" s="166">
        <f t="shared" si="17"/>
        <v>-21002.329541432016</v>
      </c>
      <c r="L27" s="166">
        <f t="shared" si="17"/>
        <v>-21002.329541432016</v>
      </c>
      <c r="M27" s="166">
        <f t="shared" si="17"/>
        <v>-21002.329541432016</v>
      </c>
      <c r="N27" s="166">
        <f t="shared" si="17"/>
        <v>-21002.329541432016</v>
      </c>
      <c r="O27" s="166">
        <f t="shared" si="17"/>
        <v>-21002.329541432016</v>
      </c>
      <c r="P27" s="470"/>
      <c r="Q27" s="470"/>
    </row>
    <row r="28" spans="1:17" s="164" customFormat="1">
      <c r="A28" s="490"/>
      <c r="B28" s="492" t="s">
        <v>684</v>
      </c>
      <c r="C28" s="166"/>
      <c r="D28" s="166"/>
      <c r="E28" s="166">
        <f>'12 - Equity Statement'!J8</f>
        <v>252046.39371350291</v>
      </c>
      <c r="F28" s="166">
        <f t="shared" si="15"/>
        <v>252046.39371350291</v>
      </c>
      <c r="G28" s="166">
        <f t="shared" ref="G28:G29" si="18">F28</f>
        <v>252046.39371350291</v>
      </c>
      <c r="H28" s="166">
        <f t="shared" ref="H28:I28" si="19">G28</f>
        <v>252046.39371350291</v>
      </c>
      <c r="I28" s="166">
        <f t="shared" si="19"/>
        <v>252046.39371350291</v>
      </c>
      <c r="J28" s="166">
        <f t="shared" ref="J28:O28" si="20">I28</f>
        <v>252046.39371350291</v>
      </c>
      <c r="K28" s="166">
        <f t="shared" si="20"/>
        <v>252046.39371350291</v>
      </c>
      <c r="L28" s="166">
        <f t="shared" si="20"/>
        <v>252046.39371350291</v>
      </c>
      <c r="M28" s="166">
        <f t="shared" si="20"/>
        <v>252046.39371350291</v>
      </c>
      <c r="N28" s="166">
        <f t="shared" si="20"/>
        <v>252046.39371350291</v>
      </c>
      <c r="O28" s="166">
        <f t="shared" si="20"/>
        <v>252046.39371350291</v>
      </c>
      <c r="P28" s="470"/>
      <c r="Q28" s="470"/>
    </row>
    <row r="29" spans="1:17" s="164" customFormat="1">
      <c r="A29" s="490"/>
      <c r="B29" s="492" t="s">
        <v>685</v>
      </c>
      <c r="C29" s="166"/>
      <c r="D29" s="166"/>
      <c r="E29" s="166"/>
      <c r="F29" s="166">
        <f>'12 - Equity Statement'!K8</f>
        <v>-34182.176033157732</v>
      </c>
      <c r="G29" s="166">
        <f t="shared" si="18"/>
        <v>-34182.176033157732</v>
      </c>
      <c r="H29" s="166">
        <f t="shared" ref="H29:H30" si="21">G29</f>
        <v>-34182.176033157732</v>
      </c>
      <c r="I29" s="166">
        <f t="shared" ref="I29:O29" si="22">H29</f>
        <v>-34182.176033157732</v>
      </c>
      <c r="J29" s="166">
        <f t="shared" si="22"/>
        <v>-34182.176033157732</v>
      </c>
      <c r="K29" s="166">
        <f t="shared" si="22"/>
        <v>-34182.176033157732</v>
      </c>
      <c r="L29" s="166">
        <f t="shared" si="22"/>
        <v>-34182.176033157732</v>
      </c>
      <c r="M29" s="166">
        <f t="shared" si="22"/>
        <v>-34182.176033157732</v>
      </c>
      <c r="N29" s="166">
        <f t="shared" si="22"/>
        <v>-34182.176033157732</v>
      </c>
      <c r="O29" s="166">
        <f t="shared" si="22"/>
        <v>-34182.176033157732</v>
      </c>
      <c r="P29" s="470"/>
      <c r="Q29" s="470"/>
    </row>
    <row r="30" spans="1:17" s="164" customFormat="1">
      <c r="A30" s="490"/>
      <c r="B30" s="492" t="s">
        <v>686</v>
      </c>
      <c r="C30" s="166"/>
      <c r="D30" s="166"/>
      <c r="E30" s="166"/>
      <c r="F30" s="166"/>
      <c r="G30" s="166">
        <f>'12 - Equity Statement'!L8</f>
        <v>-27123.062075785965</v>
      </c>
      <c r="H30" s="166">
        <f t="shared" si="21"/>
        <v>-27123.062075785965</v>
      </c>
      <c r="I30" s="166">
        <f t="shared" ref="I30:O35" si="23">H30</f>
        <v>-27123.062075785965</v>
      </c>
      <c r="J30" s="166">
        <f t="shared" si="23"/>
        <v>-27123.062075785965</v>
      </c>
      <c r="K30" s="166">
        <f t="shared" si="23"/>
        <v>-27123.062075785965</v>
      </c>
      <c r="L30" s="166">
        <f t="shared" si="23"/>
        <v>-27123.062075785965</v>
      </c>
      <c r="M30" s="166">
        <f t="shared" si="23"/>
        <v>-27123.062075785965</v>
      </c>
      <c r="N30" s="166">
        <f t="shared" si="23"/>
        <v>-27123.062075785965</v>
      </c>
      <c r="O30" s="166">
        <f t="shared" si="23"/>
        <v>-27123.062075785965</v>
      </c>
      <c r="P30" s="470"/>
      <c r="Q30" s="470"/>
    </row>
    <row r="31" spans="1:17" s="164" customFormat="1">
      <c r="A31" s="490"/>
      <c r="B31" s="492" t="s">
        <v>687</v>
      </c>
      <c r="C31" s="166"/>
      <c r="D31" s="166"/>
      <c r="E31" s="166"/>
      <c r="F31" s="166"/>
      <c r="G31" s="166"/>
      <c r="H31" s="166">
        <f>'12 - Equity Statement'!M8</f>
        <v>-18196.263851566389</v>
      </c>
      <c r="I31" s="166">
        <f t="shared" si="23"/>
        <v>-18196.263851566389</v>
      </c>
      <c r="J31" s="166">
        <f t="shared" si="23"/>
        <v>-18196.263851566389</v>
      </c>
      <c r="K31" s="166">
        <f t="shared" si="23"/>
        <v>-18196.263851566389</v>
      </c>
      <c r="L31" s="166">
        <f t="shared" si="23"/>
        <v>-18196.263851566389</v>
      </c>
      <c r="M31" s="166">
        <f t="shared" si="23"/>
        <v>-18196.263851566389</v>
      </c>
      <c r="N31" s="166">
        <f t="shared" si="23"/>
        <v>-18196.263851566389</v>
      </c>
      <c r="O31" s="166">
        <f t="shared" si="23"/>
        <v>-18196.263851566389</v>
      </c>
      <c r="P31" s="470"/>
      <c r="Q31" s="470"/>
    </row>
    <row r="32" spans="1:17" s="164" customFormat="1">
      <c r="A32" s="490"/>
      <c r="B32" s="492" t="s">
        <v>288</v>
      </c>
      <c r="C32" s="166"/>
      <c r="D32" s="166"/>
      <c r="E32" s="166"/>
      <c r="F32" s="166"/>
      <c r="G32" s="166"/>
      <c r="H32" s="166"/>
      <c r="I32" s="166">
        <f>'12 - Equity Statement'!N8</f>
        <v>-28517.304568360189</v>
      </c>
      <c r="J32" s="166">
        <f t="shared" si="23"/>
        <v>-28517.304568360189</v>
      </c>
      <c r="K32" s="166">
        <f t="shared" si="23"/>
        <v>-28517.304568360189</v>
      </c>
      <c r="L32" s="166">
        <f t="shared" si="23"/>
        <v>-28517.304568360189</v>
      </c>
      <c r="M32" s="166">
        <f t="shared" si="23"/>
        <v>-28517.304568360189</v>
      </c>
      <c r="N32" s="166">
        <f t="shared" si="23"/>
        <v>-28517.304568360189</v>
      </c>
      <c r="O32" s="166">
        <f t="shared" si="23"/>
        <v>-28517.304568360189</v>
      </c>
      <c r="P32" s="470"/>
      <c r="Q32" s="470"/>
    </row>
    <row r="33" spans="1:17" s="164" customFormat="1">
      <c r="A33" s="490"/>
      <c r="B33" s="492" t="s">
        <v>289</v>
      </c>
      <c r="C33" s="166"/>
      <c r="D33" s="166"/>
      <c r="E33" s="166"/>
      <c r="F33" s="166"/>
      <c r="G33" s="166"/>
      <c r="H33" s="166"/>
      <c r="I33" s="166"/>
      <c r="J33" s="235">
        <f>'12 - Equity Statement'!O8</f>
        <v>-18080.255652993103</v>
      </c>
      <c r="K33" s="235">
        <f>J33</f>
        <v>-18080.255652993103</v>
      </c>
      <c r="L33" s="235">
        <f t="shared" si="23"/>
        <v>-18080.255652993103</v>
      </c>
      <c r="M33" s="235">
        <f t="shared" si="23"/>
        <v>-18080.255652993103</v>
      </c>
      <c r="N33" s="235">
        <f t="shared" si="23"/>
        <v>-18080.255652993103</v>
      </c>
      <c r="O33" s="235">
        <f t="shared" si="23"/>
        <v>-18080.255652993103</v>
      </c>
      <c r="P33" s="470"/>
      <c r="Q33" s="470"/>
    </row>
    <row r="34" spans="1:17" s="164" customFormat="1">
      <c r="A34" s="490"/>
      <c r="B34" s="492" t="s">
        <v>988</v>
      </c>
      <c r="C34" s="166"/>
      <c r="D34" s="166"/>
      <c r="E34" s="166"/>
      <c r="F34" s="166"/>
      <c r="G34" s="166"/>
      <c r="H34" s="166"/>
      <c r="I34" s="166"/>
      <c r="J34" s="235"/>
      <c r="K34" s="235">
        <f>'12 - Equity Statement'!P8</f>
        <v>-6530.5511382975146</v>
      </c>
      <c r="L34" s="235">
        <f t="shared" si="23"/>
        <v>-6530.5511382975146</v>
      </c>
      <c r="M34" s="235">
        <f t="shared" si="23"/>
        <v>-6530.5511382975146</v>
      </c>
      <c r="N34" s="235">
        <f t="shared" si="23"/>
        <v>-6530.5511382975146</v>
      </c>
      <c r="O34" s="235">
        <f t="shared" si="23"/>
        <v>-6530.5511382975146</v>
      </c>
      <c r="P34" s="470"/>
      <c r="Q34" s="470"/>
    </row>
    <row r="35" spans="1:17" s="164" customFormat="1">
      <c r="A35" s="490"/>
      <c r="B35" s="492" t="s">
        <v>989</v>
      </c>
      <c r="C35" s="166"/>
      <c r="D35" s="166"/>
      <c r="E35" s="166"/>
      <c r="F35" s="166"/>
      <c r="G35" s="166"/>
      <c r="H35" s="166"/>
      <c r="I35" s="166"/>
      <c r="J35" s="235"/>
      <c r="K35" s="235"/>
      <c r="L35" s="235">
        <f>'12 - Equity Statement'!Q8</f>
        <v>-52105.895674556312</v>
      </c>
      <c r="M35" s="235">
        <f t="shared" si="23"/>
        <v>-52105.895674556312</v>
      </c>
      <c r="N35" s="235">
        <f t="shared" si="23"/>
        <v>-52105.895674556312</v>
      </c>
      <c r="O35" s="235">
        <f t="shared" si="23"/>
        <v>-52105.895674556312</v>
      </c>
      <c r="P35" s="470"/>
      <c r="Q35" s="470"/>
    </row>
    <row r="36" spans="1:17" s="164" customFormat="1">
      <c r="A36" s="490"/>
      <c r="B36" s="492" t="s">
        <v>990</v>
      </c>
      <c r="C36" s="166"/>
      <c r="D36" s="166"/>
      <c r="E36" s="166"/>
      <c r="F36" s="166"/>
      <c r="G36" s="166"/>
      <c r="H36" s="166"/>
      <c r="I36" s="166"/>
      <c r="J36" s="235"/>
      <c r="K36" s="235"/>
      <c r="L36" s="235"/>
      <c r="M36" s="235">
        <f>'12 - Equity Statement'!R8</f>
        <v>-23165.332515030866</v>
      </c>
      <c r="N36" s="235">
        <f>M36</f>
        <v>-23165.332515030866</v>
      </c>
      <c r="O36" s="235">
        <f>N36</f>
        <v>-23165.332515030866</v>
      </c>
      <c r="P36" s="470"/>
      <c r="Q36" s="470"/>
    </row>
    <row r="37" spans="1:17" s="164" customFormat="1">
      <c r="A37" s="490"/>
      <c r="B37" s="492" t="s">
        <v>995</v>
      </c>
      <c r="C37" s="166"/>
      <c r="D37" s="166"/>
      <c r="E37" s="166"/>
      <c r="F37" s="166"/>
      <c r="G37" s="166"/>
      <c r="H37" s="166"/>
      <c r="I37" s="166"/>
      <c r="J37" s="235"/>
      <c r="K37" s="235"/>
      <c r="L37" s="235"/>
      <c r="M37" s="235"/>
      <c r="N37" s="235">
        <f>'12 - Equity Statement'!S8</f>
        <v>-6671.7897210425335</v>
      </c>
      <c r="O37" s="235">
        <v>-6671.7951961029221</v>
      </c>
      <c r="P37" s="470"/>
      <c r="Q37" s="470"/>
    </row>
    <row r="38" spans="1:17" s="164" customFormat="1">
      <c r="A38" s="490"/>
      <c r="B38" s="492" t="s">
        <v>99</v>
      </c>
      <c r="C38" s="166"/>
      <c r="D38" s="166"/>
      <c r="E38" s="166"/>
      <c r="F38" s="166"/>
      <c r="G38" s="166"/>
      <c r="H38" s="166"/>
      <c r="I38" s="166"/>
      <c r="J38" s="235"/>
      <c r="K38" s="235"/>
      <c r="L38" s="235"/>
      <c r="M38" s="235"/>
      <c r="N38" s="235"/>
      <c r="O38" s="235">
        <f>'12 - Equity Statement'!T8</f>
        <v>-64761.767679243436</v>
      </c>
      <c r="P38" s="470"/>
      <c r="Q38" s="470"/>
    </row>
    <row r="39" spans="1:17" s="505" customFormat="1" ht="15" thickBot="1">
      <c r="A39" s="493"/>
      <c r="B39" s="494" t="s">
        <v>324</v>
      </c>
      <c r="C39" s="167">
        <f>SUM(C26:C32)</f>
        <v>-15902.183288183835</v>
      </c>
      <c r="D39" s="167">
        <f>SUM(D26:D27)</f>
        <v>-36904.512829615851</v>
      </c>
      <c r="E39" s="167">
        <f>SUM(E26:E28)</f>
        <v>215141.88088388706</v>
      </c>
      <c r="F39" s="167">
        <f>SUM(F26:F29)</f>
        <v>180959.70485072932</v>
      </c>
      <c r="G39" s="167">
        <f>SUM(G26:G30)</f>
        <v>153836.64277494335</v>
      </c>
      <c r="H39" s="167">
        <f>SUM(H26:H31)</f>
        <v>135640.37892337696</v>
      </c>
      <c r="I39" s="167">
        <f>SUM(I26:I32)</f>
        <v>107123.07435501678</v>
      </c>
      <c r="J39" s="167">
        <f>SUM(J26:J33)</f>
        <v>89042.81870202368</v>
      </c>
      <c r="K39" s="167">
        <f>SUM(K26:K34)</f>
        <v>82512.267563726171</v>
      </c>
      <c r="L39" s="167">
        <f>SUM(L26:L35)</f>
        <v>30406.371889169859</v>
      </c>
      <c r="M39" s="167">
        <f>SUM(M26:M36)</f>
        <v>7241.0393741389926</v>
      </c>
      <c r="N39" s="167">
        <f>SUM(N26:N37)</f>
        <v>569.24965309645904</v>
      </c>
      <c r="O39" s="167">
        <f>SUM(O26:O38)</f>
        <v>-64192.523501207368</v>
      </c>
      <c r="P39" s="504"/>
      <c r="Q39" s="504"/>
    </row>
    <row r="40" spans="1:17" s="164" customFormat="1" ht="16" thickBot="1">
      <c r="A40" s="488" t="s">
        <v>332</v>
      </c>
      <c r="B40" s="503"/>
      <c r="C40" s="498">
        <f t="shared" ref="C40:J40" si="24">C17+C39</f>
        <v>198853.0760321375</v>
      </c>
      <c r="D40" s="498">
        <f t="shared" si="24"/>
        <v>180618.08649070549</v>
      </c>
      <c r="E40" s="498">
        <f t="shared" si="24"/>
        <v>430064.4802042084</v>
      </c>
      <c r="F40" s="498">
        <f t="shared" si="24"/>
        <v>396082.30417105067</v>
      </c>
      <c r="G40" s="498">
        <f t="shared" si="24"/>
        <v>371939.43209526467</v>
      </c>
      <c r="H40" s="498">
        <f t="shared" si="24"/>
        <v>355877.68824369833</v>
      </c>
      <c r="I40" s="498">
        <f t="shared" si="24"/>
        <v>329407.14367533813</v>
      </c>
      <c r="J40" s="498">
        <f t="shared" si="24"/>
        <v>318402.47802234499</v>
      </c>
      <c r="K40" s="498">
        <f t="shared" ref="K40:M40" si="25">K17+K39</f>
        <v>311966.92688404751</v>
      </c>
      <c r="L40" s="498">
        <f t="shared" si="25"/>
        <v>264834.42120949121</v>
      </c>
      <c r="M40" s="498">
        <f t="shared" si="25"/>
        <v>241890.95869446034</v>
      </c>
      <c r="N40" s="498">
        <f t="shared" ref="N40:O40" si="26">N17+N39</f>
        <v>237852.80897341779</v>
      </c>
      <c r="O40" s="498">
        <f t="shared" si="26"/>
        <v>173411.03581911395</v>
      </c>
      <c r="P40" s="470"/>
      <c r="Q40" s="470"/>
    </row>
    <row r="41" spans="1:17" ht="15" thickTop="1"/>
    <row r="42" spans="1:17">
      <c r="I42" s="362">
        <f>I10-I40</f>
        <v>0</v>
      </c>
      <c r="J42" s="362">
        <f t="shared" ref="J42:N42" si="27">J10-J40</f>
        <v>0</v>
      </c>
      <c r="K42" s="362">
        <f t="shared" si="27"/>
        <v>0</v>
      </c>
      <c r="L42" s="362">
        <f t="shared" si="27"/>
        <v>0</v>
      </c>
      <c r="M42" s="362">
        <f>M10-M40</f>
        <v>0</v>
      </c>
      <c r="N42" s="362">
        <f t="shared" si="27"/>
        <v>0</v>
      </c>
      <c r="O42" s="362">
        <f>O10-O40</f>
        <v>0</v>
      </c>
    </row>
    <row r="43" spans="1:17">
      <c r="C43" s="362">
        <f>SUM(C14:C15)</f>
        <v>94755.259320321333</v>
      </c>
    </row>
    <row r="44" spans="1:17">
      <c r="C44" s="55"/>
      <c r="D44" s="59"/>
      <c r="E44" s="59"/>
      <c r="F44" s="59"/>
      <c r="G44" s="59"/>
      <c r="H44" s="59"/>
      <c r="I44" s="59"/>
    </row>
    <row r="45" spans="1:17"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7"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8" spans="1:17">
      <c r="D48" s="59"/>
      <c r="E48" s="59"/>
      <c r="F48" s="78"/>
      <c r="G48" s="59"/>
      <c r="H48" s="59"/>
      <c r="I48" s="59"/>
      <c r="J48" s="59"/>
      <c r="K48" s="59"/>
      <c r="L48" s="59"/>
      <c r="M48" s="59"/>
      <c r="N48" s="59"/>
      <c r="O48" s="59"/>
    </row>
  </sheetData>
  <phoneticPr fontId="41" type="noConversion"/>
  <pageMargins left="0.69861111111111107" right="0.69861111111111107" top="0.75" bottom="0.75" header="0.3" footer="0.3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>
    <pageSetUpPr fitToPage="1"/>
  </sheetPr>
  <dimension ref="A1:H17"/>
  <sheetViews>
    <sheetView zoomScale="125" zoomScaleSheetLayoutView="100" workbookViewId="0">
      <selection activeCell="B9" sqref="B9"/>
    </sheetView>
  </sheetViews>
  <sheetFormatPr baseColWidth="10" defaultColWidth="9.33203125" defaultRowHeight="23" customHeight="1" x14ac:dyDescent="0"/>
  <cols>
    <col min="1" max="1" width="4.33203125" style="1" customWidth="1"/>
    <col min="2" max="2" width="52" style="1" bestFit="1" customWidth="1"/>
    <col min="3" max="3" width="15.1640625" style="45" customWidth="1"/>
    <col min="4" max="4" width="5.1640625" style="182" customWidth="1"/>
    <col min="5" max="7" width="15.1640625" style="1" customWidth="1"/>
    <col min="8" max="16384" width="9.33203125" style="1"/>
  </cols>
  <sheetData>
    <row r="1" spans="1:8" ht="23" customHeight="1">
      <c r="A1" s="552" t="s">
        <v>340</v>
      </c>
      <c r="B1" s="553"/>
      <c r="C1" s="553"/>
      <c r="D1" s="554"/>
      <c r="E1" s="553"/>
      <c r="F1" s="555"/>
      <c r="G1" s="556"/>
    </row>
    <row r="2" spans="1:8" ht="36" customHeight="1">
      <c r="A2" s="119"/>
      <c r="C2" s="174" t="s">
        <v>701</v>
      </c>
      <c r="D2" s="188" t="s">
        <v>757</v>
      </c>
      <c r="E2" s="118" t="s">
        <v>700</v>
      </c>
      <c r="F2" s="135" t="s">
        <v>772</v>
      </c>
      <c r="G2" s="120" t="s">
        <v>746</v>
      </c>
    </row>
    <row r="3" spans="1:8" ht="16">
      <c r="A3" s="159" t="s">
        <v>389</v>
      </c>
      <c r="C3" s="175"/>
      <c r="D3" s="122"/>
      <c r="E3" s="118"/>
      <c r="F3" s="118"/>
      <c r="G3" s="120"/>
    </row>
    <row r="4" spans="1:8" ht="24" customHeight="1">
      <c r="A4" s="121"/>
      <c r="B4" s="173" t="s">
        <v>1208</v>
      </c>
      <c r="C4" s="176">
        <f>'GRANT REPORT 2013'!C8</f>
        <v>100012.98543253804</v>
      </c>
      <c r="D4" s="183">
        <f>C4/$C$16</f>
        <v>0.28904985455180598</v>
      </c>
      <c r="E4" s="146">
        <v>99999</v>
      </c>
      <c r="F4" s="146">
        <v>99999</v>
      </c>
      <c r="G4" s="147">
        <f>F4-C4</f>
        <v>-13.985432538043824</v>
      </c>
    </row>
    <row r="5" spans="1:8" ht="24" customHeight="1">
      <c r="A5" s="121"/>
      <c r="B5" s="173" t="s">
        <v>119</v>
      </c>
      <c r="C5" s="176">
        <f>'4 - Monthly Pgm Exp'!C17</f>
        <v>61611.621633114017</v>
      </c>
      <c r="D5" s="183">
        <f t="shared" ref="D5:D8" si="0">C5/$C$16</f>
        <v>0.17806518018367862</v>
      </c>
      <c r="E5" s="146">
        <v>61500</v>
      </c>
      <c r="F5" s="525">
        <v>0</v>
      </c>
      <c r="G5" s="147">
        <f>F5-C5</f>
        <v>-61611.621633114017</v>
      </c>
    </row>
    <row r="6" spans="1:8" ht="24" customHeight="1">
      <c r="A6" s="121"/>
      <c r="B6" s="173" t="s">
        <v>1209</v>
      </c>
      <c r="C6" s="176">
        <f>'GRANT REPORT 2013'!C23</f>
        <v>126942.70721774099</v>
      </c>
      <c r="D6" s="183">
        <f t="shared" si="0"/>
        <v>0.36688006961307013</v>
      </c>
      <c r="E6" s="146">
        <v>166000</v>
      </c>
      <c r="F6" s="146">
        <v>166000</v>
      </c>
      <c r="G6" s="147">
        <f>F6-C6</f>
        <v>39057.292782259014</v>
      </c>
    </row>
    <row r="7" spans="1:8" ht="24" customHeight="1">
      <c r="A7" s="121"/>
      <c r="B7" s="173" t="s">
        <v>120</v>
      </c>
      <c r="C7" s="176">
        <f>'4 - Monthly Pgm Exp'!E17</f>
        <v>2973.6108903758713</v>
      </c>
      <c r="D7" s="183">
        <f t="shared" si="0"/>
        <v>8.5941019722542613E-3</v>
      </c>
      <c r="E7" s="146">
        <v>4500</v>
      </c>
      <c r="F7" s="146">
        <v>4500</v>
      </c>
      <c r="G7" s="147">
        <f>F7-C7</f>
        <v>1526.3891096241287</v>
      </c>
    </row>
    <row r="8" spans="1:8" ht="24" customHeight="1">
      <c r="A8" s="121"/>
      <c r="B8" s="173" t="s">
        <v>1072</v>
      </c>
      <c r="C8" s="176">
        <f>'4 - Monthly Pgm Exp'!F17</f>
        <v>43250</v>
      </c>
      <c r="D8" s="183">
        <f t="shared" si="0"/>
        <v>0.12499783058469151</v>
      </c>
      <c r="E8" s="146">
        <f>C8</f>
        <v>43250</v>
      </c>
      <c r="F8" s="146">
        <f>E8</f>
        <v>43250</v>
      </c>
      <c r="G8" s="147">
        <f>F8-C8</f>
        <v>0</v>
      </c>
    </row>
    <row r="9" spans="1:8" ht="24" customHeight="1">
      <c r="A9" s="140"/>
      <c r="B9" s="161" t="s">
        <v>260</v>
      </c>
      <c r="C9" s="177">
        <f>SUM(C2:C8)</f>
        <v>334790.92517376889</v>
      </c>
      <c r="D9" s="184">
        <f>C9/C16</f>
        <v>0.96758703690550041</v>
      </c>
      <c r="E9" s="148">
        <f>SUM(E2:E8)</f>
        <v>375249</v>
      </c>
      <c r="F9" s="148">
        <f>SUM(F2:F8)</f>
        <v>313749</v>
      </c>
      <c r="G9" s="149">
        <f>SUM(G2:G8)</f>
        <v>-21041.925173768919</v>
      </c>
    </row>
    <row r="10" spans="1:8" s="86" customFormat="1" ht="24" customHeight="1">
      <c r="A10" s="160" t="s">
        <v>1099</v>
      </c>
      <c r="B10" s="131"/>
      <c r="C10" s="178"/>
      <c r="D10" s="150"/>
      <c r="E10" s="151"/>
      <c r="F10" s="151"/>
      <c r="G10" s="152"/>
    </row>
    <row r="11" spans="1:8" ht="24" customHeight="1">
      <c r="A11" s="121"/>
      <c r="B11" s="173" t="s">
        <v>1073</v>
      </c>
      <c r="C11" s="176">
        <f>'4 - Monthly Pgm Exp'!G17</f>
        <v>0</v>
      </c>
      <c r="D11" s="185">
        <f>C11/$C$16</f>
        <v>0</v>
      </c>
      <c r="E11" s="153" t="s">
        <v>259</v>
      </c>
      <c r="F11" s="153" t="s">
        <v>259</v>
      </c>
      <c r="G11" s="154"/>
    </row>
    <row r="12" spans="1:8" ht="24" customHeight="1">
      <c r="A12" s="121"/>
      <c r="B12" s="173" t="s">
        <v>122</v>
      </c>
      <c r="C12" s="176">
        <f>'4 - Monthly Pgm Exp'!H17</f>
        <v>3845</v>
      </c>
      <c r="D12" s="185">
        <f>C12/$C$16</f>
        <v>1.1112523898222863E-2</v>
      </c>
      <c r="E12" s="153" t="s">
        <v>259</v>
      </c>
      <c r="F12" s="153" t="s">
        <v>259</v>
      </c>
      <c r="G12" s="154"/>
    </row>
    <row r="13" spans="1:8" ht="24" customHeight="1">
      <c r="A13" s="121"/>
      <c r="B13" s="173" t="s">
        <v>123</v>
      </c>
      <c r="C13" s="176">
        <f>'4 - Monthly Pgm Exp'!I17</f>
        <v>7370.0798720245193</v>
      </c>
      <c r="D13" s="185">
        <f t="shared" ref="D13" si="1">C13/$C$16</f>
        <v>2.1300439196276662E-2</v>
      </c>
      <c r="E13" s="153" t="s">
        <v>259</v>
      </c>
      <c r="F13" s="153" t="s">
        <v>259</v>
      </c>
      <c r="G13" s="154"/>
    </row>
    <row r="14" spans="1:8" ht="24" customHeight="1">
      <c r="A14" s="121"/>
      <c r="B14" s="173" t="s">
        <v>124</v>
      </c>
      <c r="C14" s="176">
        <f>'4 - Monthly Pgm Exp'!J16+'4 - Monthly Pgm Exp'!J17</f>
        <v>0</v>
      </c>
      <c r="D14" s="185">
        <f t="shared" ref="D14" si="2">C14/$C$16</f>
        <v>0</v>
      </c>
      <c r="E14" s="153" t="s">
        <v>259</v>
      </c>
      <c r="F14" s="153" t="s">
        <v>259</v>
      </c>
      <c r="G14" s="154"/>
    </row>
    <row r="15" spans="1:8" ht="24" customHeight="1">
      <c r="A15" s="141"/>
      <c r="B15" s="162" t="s">
        <v>339</v>
      </c>
      <c r="C15" s="179">
        <f>SUM(C10:C14)</f>
        <v>11215.079872024518</v>
      </c>
      <c r="D15" s="186">
        <f>C15/C16</f>
        <v>3.2412963094499522E-2</v>
      </c>
      <c r="E15" s="155">
        <f>'6 - P&amp;L Program Detail'!E11-4500</f>
        <v>21589.987609146039</v>
      </c>
      <c r="F15" s="155">
        <f>E15</f>
        <v>21589.987609146039</v>
      </c>
      <c r="G15" s="156">
        <f>F15-C15</f>
        <v>10374.907737121521</v>
      </c>
    </row>
    <row r="16" spans="1:8" s="134" customFormat="1" ht="35" customHeight="1">
      <c r="A16" s="132"/>
      <c r="B16" s="133" t="s">
        <v>351</v>
      </c>
      <c r="C16" s="180">
        <f>SUM(C15,C9)</f>
        <v>346006.00504579343</v>
      </c>
      <c r="D16" s="187">
        <f>C16/C16</f>
        <v>1</v>
      </c>
      <c r="E16" s="157">
        <f>SUM(E15,E9)</f>
        <v>396838.98760914605</v>
      </c>
      <c r="F16" s="157">
        <f>SUM(F15,F9)</f>
        <v>335338.98760914605</v>
      </c>
      <c r="G16" s="158">
        <f>SUM(G15,G9)</f>
        <v>-10667.017436647398</v>
      </c>
      <c r="H16" s="435"/>
    </row>
    <row r="17" spans="2:7" ht="23" customHeight="1">
      <c r="B17" s="172" t="s">
        <v>756</v>
      </c>
      <c r="C17" s="170">
        <f>C16/F16</f>
        <v>1.0318096547994602</v>
      </c>
      <c r="D17" s="181"/>
      <c r="E17" s="171"/>
      <c r="F17" s="170">
        <f>F16/F16</f>
        <v>1</v>
      </c>
      <c r="G17" s="170">
        <f>G16/F16</f>
        <v>-3.1809654799460206E-2</v>
      </c>
    </row>
  </sheetData>
  <mergeCells count="1">
    <mergeCell ref="A1:G1"/>
  </mergeCells>
  <phoneticPr fontId="41" type="noConversion"/>
  <printOptions gridLines="1"/>
  <pageMargins left="0.7" right="0.7" top="0.75" bottom="0.75" header="0.3" footer="0.3"/>
  <pageSetup scale="64" orientation="portrait" horizontalDpi="4294967292" verticalDpi="4294967292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U24"/>
  <sheetViews>
    <sheetView zoomScaleSheetLayoutView="100" workbookViewId="0">
      <pane xSplit="1" ySplit="2" topLeftCell="B3" activePane="bottomRight" state="frozenSplit"/>
      <selection pane="topRight"/>
      <selection pane="bottomLeft"/>
      <selection pane="bottomRight" activeCell="C25" sqref="C25"/>
    </sheetView>
  </sheetViews>
  <sheetFormatPr baseColWidth="10" defaultColWidth="11" defaultRowHeight="14" x14ac:dyDescent="0"/>
  <cols>
    <col min="1" max="1" width="27.33203125" style="10" customWidth="1"/>
    <col min="2" max="2" width="19.1640625" style="10" customWidth="1"/>
    <col min="3" max="3" width="16.5" style="10" customWidth="1"/>
    <col min="4" max="4" width="13.1640625" style="10" bestFit="1" customWidth="1"/>
    <col min="5" max="6" width="16.83203125" style="10" customWidth="1"/>
    <col min="7" max="7" width="12.6640625" style="10" customWidth="1"/>
    <col min="8" max="8" width="11.6640625" style="322" customWidth="1"/>
    <col min="9" max="10" width="12.33203125" style="10" customWidth="1"/>
    <col min="11" max="11" width="17" style="329" customWidth="1"/>
    <col min="12" max="12" width="11.6640625" style="44" customWidth="1"/>
    <col min="13" max="255" width="11" style="10" customWidth="1"/>
    <col min="256" max="16384" width="11" style="314"/>
  </cols>
  <sheetData>
    <row r="1" spans="1:255" ht="17">
      <c r="A1" s="12"/>
      <c r="B1" s="557" t="s">
        <v>352</v>
      </c>
      <c r="C1" s="557"/>
      <c r="D1" s="557"/>
      <c r="E1" s="557"/>
      <c r="F1" s="557"/>
      <c r="G1" s="558" t="s">
        <v>1099</v>
      </c>
      <c r="H1" s="559"/>
      <c r="I1" s="559"/>
      <c r="J1" s="560"/>
      <c r="K1" s="330"/>
    </row>
    <row r="2" spans="1:255" s="10" customFormat="1" ht="34">
      <c r="A2" s="465" t="s">
        <v>257</v>
      </c>
      <c r="B2" s="136" t="s">
        <v>118</v>
      </c>
      <c r="C2" s="136" t="s">
        <v>119</v>
      </c>
      <c r="D2" s="136" t="s">
        <v>1071</v>
      </c>
      <c r="E2" s="136" t="s">
        <v>120</v>
      </c>
      <c r="F2" s="136" t="s">
        <v>1072</v>
      </c>
      <c r="G2" s="9" t="s">
        <v>121</v>
      </c>
      <c r="H2" s="8" t="s">
        <v>122</v>
      </c>
      <c r="I2" s="9" t="s">
        <v>123</v>
      </c>
      <c r="J2" s="9" t="s">
        <v>124</v>
      </c>
      <c r="K2" s="331" t="s">
        <v>256</v>
      </c>
      <c r="L2" s="315"/>
    </row>
    <row r="3" spans="1:255" s="10" customFormat="1" ht="12" hidden="1">
      <c r="A3" s="332" t="s">
        <v>334</v>
      </c>
      <c r="B3" s="100">
        <v>99999</v>
      </c>
      <c r="C3" s="100">
        <v>0</v>
      </c>
      <c r="D3" s="100">
        <v>166000</v>
      </c>
      <c r="E3" s="100">
        <v>4500</v>
      </c>
      <c r="F3" s="100">
        <v>53250</v>
      </c>
      <c r="G3" s="100"/>
      <c r="H3" s="101"/>
      <c r="I3" s="100"/>
      <c r="J3" s="100"/>
      <c r="K3" s="333"/>
      <c r="L3" s="315"/>
    </row>
    <row r="4" spans="1:255" s="10" customFormat="1" ht="15" hidden="1">
      <c r="A4" s="102"/>
      <c r="B4" s="334"/>
      <c r="C4" s="334"/>
      <c r="D4" s="2"/>
      <c r="E4" s="2"/>
      <c r="F4" s="2"/>
      <c r="G4" s="2"/>
      <c r="H4" s="3"/>
      <c r="I4" s="2"/>
      <c r="J4" s="2"/>
      <c r="K4" s="333"/>
      <c r="L4" s="315"/>
    </row>
    <row r="5" spans="1:255" s="98" customFormat="1" ht="15">
      <c r="A5" s="466">
        <v>41305</v>
      </c>
      <c r="B5" s="508">
        <f>SUMIFS('8 - Detailed Expenses'!$E:$E,'8 - Detailed Expenses'!$B:$B,"&lt;2/1/2013",'8 - Detailed Expenses'!$H:$H,'4 - Monthly Pgm Exp'!B$2)</f>
        <v>14979.609412711181</v>
      </c>
      <c r="C5" s="508">
        <f>SUMIFS('8 - Detailed Expenses'!$E:$E,'8 - Detailed Expenses'!$B:$B,"&lt;2/1/2013",'8 - Detailed Expenses'!$H:$H,'4 - Monthly Pgm Exp'!C$2)</f>
        <v>0</v>
      </c>
      <c r="D5" s="508">
        <f>SUMIFS('8 - Detailed Expenses'!$E:$E,'8 - Detailed Expenses'!$B:$B,"&lt;2/1/2013",'8 - Detailed Expenses'!$H:$H,'4 - Monthly Pgm Exp'!D$2)</f>
        <v>610.36453740949321</v>
      </c>
      <c r="E5" s="508">
        <f>SUMIFS('8 - Detailed Expenses'!$E:$E,'8 - Detailed Expenses'!$B:$B,"&lt;2/1/2013",'8 - Detailed Expenses'!$H:$H,'4 - Monthly Pgm Exp'!E$2)</f>
        <v>206.91874497184233</v>
      </c>
      <c r="F5" s="508">
        <f>SUMIFS('8 - Detailed Expenses'!$E:$E,'8 - Detailed Expenses'!$B:$B,"&lt;2/1/2013",'8 - Detailed Expenses'!$H:$H,'4 - Monthly Pgm Exp'!F$2)</f>
        <v>3750</v>
      </c>
      <c r="G5" s="508">
        <f>SUMIFS('8 - Detailed Expenses'!$E:$E,'8 - Detailed Expenses'!$B:$B,"&lt;2/1/2013",'8 - Detailed Expenses'!$H:$H,'4 - Monthly Pgm Exp'!G$2)</f>
        <v>0</v>
      </c>
      <c r="H5" s="508">
        <f>SUMIFS('8 - Detailed Expenses'!$E:$E,'8 - Detailed Expenses'!$B:$B,"&lt;2/1/2013",'8 - Detailed Expenses'!$H:$H,'4 - Monthly Pgm Exp'!H$2)</f>
        <v>0</v>
      </c>
      <c r="I5" s="508">
        <f>SUMIFS('8 - Detailed Expenses'!$E:$E,'8 - Detailed Expenses'!$B:$B,"&lt;2/1/2013",'8 - Detailed Expenses'!$H:$H,'4 - Monthly Pgm Exp'!I$2)</f>
        <v>3064.4473049074818</v>
      </c>
      <c r="J5" s="508">
        <f>SUMIFS('8 - Detailed Expenses'!$E:$E,'8 - Detailed Expenses'!$B:$B,"&lt;2/1/2013",'8 - Detailed Expenses'!$H:$H,'4 - Monthly Pgm Exp'!J$2)</f>
        <v>0</v>
      </c>
      <c r="K5" s="509">
        <f>SUM(B5:I5)</f>
        <v>22611.339999999997</v>
      </c>
      <c r="L5" s="317"/>
    </row>
    <row r="6" spans="1:255" s="98" customFormat="1" ht="15">
      <c r="A6" s="466">
        <v>41333</v>
      </c>
      <c r="B6" s="508">
        <f>(SUMIFS('8 - Detailed Expenses'!$E:$E,'8 - Detailed Expenses'!$B:$B,"&lt;3/1/2013",'8 - Detailed Expenses'!$H:$H,'4 - Monthly Pgm Exp'!B$2)-SUM(B$5:B5))</f>
        <v>6260.7894359578841</v>
      </c>
      <c r="C6" s="508">
        <f>(SUMIFS('8 - Detailed Expenses'!$E:$E,'8 - Detailed Expenses'!$B:$B,"&lt;3/1/2013",'8 - Detailed Expenses'!$H:$H,'4 - Monthly Pgm Exp'!C$2)-SUM(C$5:C5))</f>
        <v>1790.7389413657434</v>
      </c>
      <c r="D6" s="508">
        <f>(SUMIFS('8 - Detailed Expenses'!$E:$E,'8 - Detailed Expenses'!$B:$B,"&lt;3/1/2013",'8 - Detailed Expenses'!$H:$H,'4 - Monthly Pgm Exp'!D$2)-SUM(D$5:D5))</f>
        <v>6054.827251150863</v>
      </c>
      <c r="E6" s="508">
        <f>(SUMIFS('8 - Detailed Expenses'!$E:$E,'8 - Detailed Expenses'!$B:$B,"&lt;3/1/2013",'8 - Detailed Expenses'!$H:$H,'4 - Monthly Pgm Exp'!E$2)-SUM(E$5:E5))</f>
        <v>0</v>
      </c>
      <c r="F6" s="508">
        <f>(SUMIFS('8 - Detailed Expenses'!$E:$E,'8 - Detailed Expenses'!$B:$B,"&lt;3/1/2013",'8 - Detailed Expenses'!$H:$H,'4 - Monthly Pgm Exp'!F$2)-SUM(F$5:F5))</f>
        <v>1250</v>
      </c>
      <c r="G6" s="508">
        <f>(SUMIFS('8 - Detailed Expenses'!$E:$E,'8 - Detailed Expenses'!$B:$B,"&lt;3/1/2013",'8 - Detailed Expenses'!$H:$H,'4 - Monthly Pgm Exp'!G$2)-SUM(G$5:G5))</f>
        <v>0</v>
      </c>
      <c r="H6" s="508">
        <f>(SUMIFS('8 - Detailed Expenses'!$E:$E,'8 - Detailed Expenses'!$B:$B,"&lt;3/1/2013",'8 - Detailed Expenses'!$H:$H,'4 - Monthly Pgm Exp'!H$2)-SUM(H$5:H5))</f>
        <v>0</v>
      </c>
      <c r="I6" s="508">
        <f>(SUMIFS('8 - Detailed Expenses'!$E:$E,'8 - Detailed Expenses'!$B:$B,"&lt;3/1/2013",'8 - Detailed Expenses'!$H:$H,'4 - Monthly Pgm Exp'!I$2)-SUM(I$5:I5))</f>
        <v>200</v>
      </c>
      <c r="J6" s="508">
        <f>(SUMIFS('8 - Detailed Expenses'!$E:$E,'8 - Detailed Expenses'!$B:$B,"&lt;3/1/2013",'8 - Detailed Expenses'!$H:$H,'4 - Monthly Pgm Exp'!J$2)-SUM(J$5:J5))</f>
        <v>0</v>
      </c>
      <c r="K6" s="509">
        <f t="shared" ref="K6:K16" si="0">SUM(B6:I6)</f>
        <v>15556.355628474492</v>
      </c>
      <c r="L6" s="317"/>
    </row>
    <row r="7" spans="1:255" s="98" customFormat="1" ht="15">
      <c r="A7" s="466">
        <v>41364</v>
      </c>
      <c r="B7" s="508">
        <f>(SUMIFS('8 - Detailed Expenses'!$E:$E,'8 - Detailed Expenses'!$B:$B,"&lt;4/1/2013",'8 - Detailed Expenses'!$H:$H,'4 - Monthly Pgm Exp'!B$2)-SUM(B$5:B6))</f>
        <v>12110.217103479074</v>
      </c>
      <c r="C7" s="508">
        <f>(SUMIFS('8 - Detailed Expenses'!$E:$E,'8 - Detailed Expenses'!$B:$B,"&lt;4/1/2013",'8 - Detailed Expenses'!$H:$H,'4 - Monthly Pgm Exp'!C$2)-SUM(C$5:C6))</f>
        <v>3654.9187257732615</v>
      </c>
      <c r="D7" s="508">
        <f>(SUMIFS('8 - Detailed Expenses'!$E:$E,'8 - Detailed Expenses'!$B:$B,"&lt;4/1/2013",'8 - Detailed Expenses'!$H:$H,'4 - Monthly Pgm Exp'!D$2)-SUM(D$5:D6))</f>
        <v>17438.476691486947</v>
      </c>
      <c r="E7" s="508">
        <f>(SUMIFS('8 - Detailed Expenses'!$E:$E,'8 - Detailed Expenses'!$B:$B,"&lt;4/1/2013",'8 - Detailed Expenses'!$H:$H,'4 - Monthly Pgm Exp'!E$2)-SUM(E$5:E6))</f>
        <v>356.68139546012856</v>
      </c>
      <c r="F7" s="508">
        <f>(SUMIFS('8 - Detailed Expenses'!$E:$E,'8 - Detailed Expenses'!$B:$B,"&lt;4/1/2013",'8 - Detailed Expenses'!$H:$H,'4 - Monthly Pgm Exp'!F$2)-SUM(F$5:F6))</f>
        <v>0</v>
      </c>
      <c r="G7" s="508">
        <f>(SUMIFS('8 - Detailed Expenses'!$E:$E,'8 - Detailed Expenses'!$B:$B,"&lt;4/1/2013",'8 - Detailed Expenses'!$H:$H,'4 - Monthly Pgm Exp'!G$2)-SUM(G$5:G6))</f>
        <v>0</v>
      </c>
      <c r="H7" s="508">
        <f>(SUMIFS('8 - Detailed Expenses'!$E:$E,'8 - Detailed Expenses'!$B:$B,"&lt;4/1/2013",'8 - Detailed Expenses'!$H:$H,'4 - Monthly Pgm Exp'!H$2)-SUM(H$5:H6))</f>
        <v>0</v>
      </c>
      <c r="I7" s="508">
        <f>(SUMIFS('8 - Detailed Expenses'!$E:$E,'8 - Detailed Expenses'!$B:$B,"&lt;4/1/2013",'8 - Detailed Expenses'!$H:$H,'4 - Monthly Pgm Exp'!I$2)-SUM(I$5:I6))</f>
        <v>2305.6325671170375</v>
      </c>
      <c r="J7" s="508">
        <f>(SUMIFS('8 - Detailed Expenses'!$E:$E,'8 - Detailed Expenses'!$B:$B,"&lt;4/1/2013",'8 - Detailed Expenses'!$H:$H,'4 - Monthly Pgm Exp'!J$2)-SUM(J$5:J6))</f>
        <v>0</v>
      </c>
      <c r="K7" s="509">
        <f t="shared" si="0"/>
        <v>35865.926483316449</v>
      </c>
      <c r="L7" s="317"/>
    </row>
    <row r="8" spans="1:255" s="205" customFormat="1" ht="15">
      <c r="A8" s="466">
        <v>41394</v>
      </c>
      <c r="B8" s="508">
        <f>(SUMIFS('8 - Detailed Expenses'!$E:$E,'8 - Detailed Expenses'!$B:$B,"&lt;5/1/2013",'8 - Detailed Expenses'!$H:$H,'4 - Monthly Pgm Exp'!B$2)-SUM(B$5:B7))</f>
        <v>985.06380531398463</v>
      </c>
      <c r="C8" s="508">
        <f>(SUMIFS('8 - Detailed Expenses'!$E:$E,'8 - Detailed Expenses'!$B:$B,"&lt;5/1/2013",'8 - Detailed Expenses'!$H:$H,'4 - Monthly Pgm Exp'!C$2)-SUM(C$5:C7))</f>
        <v>7153.9838882749555</v>
      </c>
      <c r="D8" s="508">
        <f>(SUMIFS('8 - Detailed Expenses'!$E:$E,'8 - Detailed Expenses'!$B:$B,"&lt;5/1/2013",'8 - Detailed Expenses'!$H:$H,'4 - Monthly Pgm Exp'!D$2)-SUM(D$5:D7))</f>
        <v>20499.125207802819</v>
      </c>
      <c r="E8" s="508">
        <f>(SUMIFS('8 - Detailed Expenses'!$E:$E,'8 - Detailed Expenses'!$B:$B,"&lt;5/1/2013",'8 - Detailed Expenses'!$H:$H,'4 - Monthly Pgm Exp'!E$2)-SUM(E$5:E7))</f>
        <v>17.777350694277629</v>
      </c>
      <c r="F8" s="508">
        <f>(SUMIFS('8 - Detailed Expenses'!$E:$E,'8 - Detailed Expenses'!$B:$B,"&lt;5/1/2013",'8 - Detailed Expenses'!$H:$H,'4 - Monthly Pgm Exp'!F$2)-SUM(F$5:F7))</f>
        <v>0</v>
      </c>
      <c r="G8" s="508">
        <f>(SUMIFS('8 - Detailed Expenses'!$E:$E,'8 - Detailed Expenses'!$B:$B,"&lt;5/1/2013",'8 - Detailed Expenses'!$H:$H,'4 - Monthly Pgm Exp'!G$2)-SUM(G$5:G7))</f>
        <v>0</v>
      </c>
      <c r="H8" s="508">
        <f>(SUMIFS('8 - Detailed Expenses'!$E:$E,'8 - Detailed Expenses'!$B:$B,"&lt;5/1/2013",'8 - Detailed Expenses'!$H:$H,'4 - Monthly Pgm Exp'!H$2)-SUM(H$5:H7))</f>
        <v>0</v>
      </c>
      <c r="I8" s="508">
        <f>(SUMIFS('8 - Detailed Expenses'!$E:$E,'8 - Detailed Expenses'!$B:$B,"&lt;5/1/2013",'8 - Detailed Expenses'!$H:$H,'4 - Monthly Pgm Exp'!I$2)-SUM(I$5:I7))</f>
        <v>200</v>
      </c>
      <c r="J8" s="508">
        <f>(SUMIFS('8 - Detailed Expenses'!$E:$E,'8 - Detailed Expenses'!$B:$B,"&lt;5/1/2013",'8 - Detailed Expenses'!$H:$H,'4 - Monthly Pgm Exp'!J$2)-SUM(J$5:J7))</f>
        <v>0</v>
      </c>
      <c r="K8" s="509">
        <f t="shared" si="0"/>
        <v>28855.950252086033</v>
      </c>
      <c r="L8" s="317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</row>
    <row r="9" spans="1:255" s="98" customFormat="1" ht="15">
      <c r="A9" s="466">
        <v>41425</v>
      </c>
      <c r="B9" s="508">
        <f>(SUMIFS('8 - Detailed Expenses'!$E:$E,'8 - Detailed Expenses'!$B:$B,"&lt;6/1/2013",'8 - Detailed Expenses'!$H:$H,'4 - Monthly Pgm Exp'!B$2)-SUM(B$5:B8))</f>
        <v>1914.3210865230649</v>
      </c>
      <c r="C9" s="508">
        <f>(SUMIFS('8 - Detailed Expenses'!$E:$E,'8 - Detailed Expenses'!$B:$B,"&lt;6/1/2013",'8 - Detailed Expenses'!$H:$H,'4 - Monthly Pgm Exp'!C$2)-SUM(C$5:C8))</f>
        <v>6882.8097930899276</v>
      </c>
      <c r="D9" s="508">
        <f>(SUMIFS('8 - Detailed Expenses'!$E:$E,'8 - Detailed Expenses'!$B:$B,"&lt;6/1/2013",'8 - Detailed Expenses'!$H:$H,'4 - Monthly Pgm Exp'!D$2)-SUM(D$5:D8))</f>
        <v>10847.583772758459</v>
      </c>
      <c r="E9" s="508">
        <f>(SUMIFS('8 - Detailed Expenses'!$E:$E,'8 - Detailed Expenses'!$B:$B,"&lt;6/1/2013",'8 - Detailed Expenses'!$H:$H,'4 - Monthly Pgm Exp'!E$2)-SUM(E$5:E8))</f>
        <v>3.7590298434281522</v>
      </c>
      <c r="F9" s="508">
        <f>(SUMIFS('8 - Detailed Expenses'!$E:$E,'8 - Detailed Expenses'!$B:$B,"&lt;6/1/2013",'8 - Detailed Expenses'!$H:$H,'4 - Monthly Pgm Exp'!F$2)-SUM(F$5:F8))</f>
        <v>0</v>
      </c>
      <c r="G9" s="508">
        <f>(SUMIFS('8 - Detailed Expenses'!$E:$E,'8 - Detailed Expenses'!$B:$B,"&lt;6/1/2013",'8 - Detailed Expenses'!$H:$H,'4 - Monthly Pgm Exp'!G$2)-SUM(G$5:G8))</f>
        <v>0</v>
      </c>
      <c r="H9" s="508">
        <f>(SUMIFS('8 - Detailed Expenses'!$E:$E,'8 - Detailed Expenses'!$B:$B,"&lt;6/1/2013",'8 - Detailed Expenses'!$H:$H,'4 - Monthly Pgm Exp'!H$2)-SUM(H$5:H8))</f>
        <v>0</v>
      </c>
      <c r="I9" s="508">
        <f>(SUMIFS('8 - Detailed Expenses'!$E:$E,'8 - Detailed Expenses'!$B:$B,"&lt;6/1/2013",'8 - Detailed Expenses'!$H:$H,'4 - Monthly Pgm Exp'!I$2)-SUM(I$5:I8))</f>
        <v>200</v>
      </c>
      <c r="J9" s="508">
        <f>(SUMIFS('8 - Detailed Expenses'!$E:$E,'8 - Detailed Expenses'!$B:$B,"&lt;6/1/2013",'8 - Detailed Expenses'!$H:$H,'4 - Monthly Pgm Exp'!J$2)-SUM(J$5:J8))</f>
        <v>0</v>
      </c>
      <c r="K9" s="509">
        <f t="shared" si="0"/>
        <v>19848.473682214881</v>
      </c>
      <c r="L9" s="317"/>
      <c r="N9" s="99"/>
    </row>
    <row r="10" spans="1:255" s="205" customFormat="1" ht="15">
      <c r="A10" s="466">
        <v>41455</v>
      </c>
      <c r="B10" s="508">
        <f>(SUMIFS('8 - Detailed Expenses'!$E:$E,'8 - Detailed Expenses'!$B:$B,"&lt;7/1/2013",'8 - Detailed Expenses'!$H:$H,'4 - Monthly Pgm Exp'!B$2)-SUM(B$5:B9))</f>
        <v>11455.065976869068</v>
      </c>
      <c r="C10" s="508">
        <f>(SUMIFS('8 - Detailed Expenses'!$E:$E,'8 - Detailed Expenses'!$B:$B,"&lt;7/1/2013",'8 - Detailed Expenses'!$H:$H,'4 - Monthly Pgm Exp'!C$2)-SUM(C$5:C9))</f>
        <v>7198.1639611730679</v>
      </c>
      <c r="D10" s="508">
        <f>(SUMIFS('8 - Detailed Expenses'!$E:$E,'8 - Detailed Expenses'!$B:$B,"&lt;7/1/2013",'8 - Detailed Expenses'!$H:$H,'4 - Monthly Pgm Exp'!D$2)-SUM(D$5:D9))</f>
        <v>9422.4865757951266</v>
      </c>
      <c r="E10" s="508">
        <f>(SUMIFS('8 - Detailed Expenses'!$E:$E,'8 - Detailed Expenses'!$B:$B,"&lt;7/1/2013",'8 - Detailed Expenses'!$H:$H,'4 - Monthly Pgm Exp'!E$2)-SUM(E$5:E9))</f>
        <v>1934.0802478314747</v>
      </c>
      <c r="F10" s="508">
        <f>(SUMIFS('8 - Detailed Expenses'!$E:$E,'8 - Detailed Expenses'!$B:$B,"&lt;7/1/2013",'8 - Detailed Expenses'!$H:$H,'4 - Monthly Pgm Exp'!F$2)-SUM(F$5:F9))</f>
        <v>0</v>
      </c>
      <c r="G10" s="508">
        <f>(SUMIFS('8 - Detailed Expenses'!$E:$E,'8 - Detailed Expenses'!$B:$B,"&lt;7/1/2013",'8 - Detailed Expenses'!$H:$H,'4 - Monthly Pgm Exp'!G$2)-SUM(G$5:G9))</f>
        <v>0</v>
      </c>
      <c r="H10" s="508">
        <f>(SUMIFS('8 - Detailed Expenses'!$E:$E,'8 - Detailed Expenses'!$B:$B,"&lt;7/1/2013",'8 - Detailed Expenses'!$H:$H,'4 - Monthly Pgm Exp'!H$2)-SUM(H$5:H9))</f>
        <v>0</v>
      </c>
      <c r="I10" s="508">
        <f>(SUMIFS('8 - Detailed Expenses'!$E:$E,'8 - Detailed Expenses'!$B:$B,"&lt;7/1/2013",'8 - Detailed Expenses'!$H:$H,'4 - Monthly Pgm Exp'!I$2)-SUM(I$5:I9))</f>
        <v>200</v>
      </c>
      <c r="J10" s="508">
        <f>(SUMIFS('8 - Detailed Expenses'!$E:$E,'8 - Detailed Expenses'!$B:$B,"&lt;7/1/2013",'8 - Detailed Expenses'!$H:$H,'4 - Monthly Pgm Exp'!J$2)-SUM(J$5:J9))</f>
        <v>0</v>
      </c>
      <c r="K10" s="509">
        <f t="shared" si="0"/>
        <v>30209.796761668738</v>
      </c>
      <c r="L10" s="317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</row>
    <row r="11" spans="1:255" s="205" customFormat="1" ht="15">
      <c r="A11" s="466">
        <v>41486</v>
      </c>
      <c r="B11" s="508">
        <f>(SUMIFS('8 - Detailed Expenses'!$E:$E,'8 - Detailed Expenses'!$B:$B,"&lt;8/1/2013",'8 - Detailed Expenses'!$H:$H,'4 - Monthly Pgm Exp'!B$2)-SUM(B$5:B10))</f>
        <v>2294.1096750735524</v>
      </c>
      <c r="C11" s="508">
        <f>(SUMIFS('8 - Detailed Expenses'!$E:$E,'8 - Detailed Expenses'!$B:$B,"&lt;8/1/2013",'8 - Detailed Expenses'!$H:$H,'4 - Monthly Pgm Exp'!C$2)-SUM(C$5:C10))</f>
        <v>6214.8398505933292</v>
      </c>
      <c r="D11" s="508">
        <f>(SUMIFS('8 - Detailed Expenses'!$E:$E,'8 - Detailed Expenses'!$B:$B,"&lt;8/1/2013",'8 - Detailed Expenses'!$H:$H,'4 - Monthly Pgm Exp'!D$2)-SUM(D$5:D10))</f>
        <v>7470.8476484976782</v>
      </c>
      <c r="E11" s="508">
        <f>(SUMIFS('8 - Detailed Expenses'!$E:$E,'8 - Detailed Expenses'!$B:$B,"&lt;8/1/2013",'8 - Detailed Expenses'!$H:$H,'4 - Monthly Pgm Exp'!E$2)-SUM(E$5:E10))</f>
        <v>454.39412157471997</v>
      </c>
      <c r="F11" s="508">
        <f>(SUMIFS('8 - Detailed Expenses'!$E:$E,'8 - Detailed Expenses'!$B:$B,"&lt;8/1/2013",'8 - Detailed Expenses'!$H:$H,'4 - Monthly Pgm Exp'!F$2)-SUM(F$5:F10))</f>
        <v>0</v>
      </c>
      <c r="G11" s="508">
        <f>(SUMIFS('8 - Detailed Expenses'!$E:$E,'8 - Detailed Expenses'!$B:$B,"&lt;8/1/2013",'8 - Detailed Expenses'!$H:$H,'4 - Monthly Pgm Exp'!G$2)-SUM(G$5:G10))</f>
        <v>0</v>
      </c>
      <c r="H11" s="508">
        <f>(SUMIFS('8 - Detailed Expenses'!$E:$E,'8 - Detailed Expenses'!$B:$B,"&lt;8/1/2013",'8 - Detailed Expenses'!$H:$H,'4 - Monthly Pgm Exp'!H$2)-SUM(H$5:H10))</f>
        <v>3845</v>
      </c>
      <c r="I11" s="508">
        <f>(SUMIFS('8 - Detailed Expenses'!$E:$E,'8 - Detailed Expenses'!$B:$B,"&lt;8/1/2013",'8 - Detailed Expenses'!$H:$H,'4 - Monthly Pgm Exp'!I$2)-SUM(I$5:I10))</f>
        <v>200</v>
      </c>
      <c r="J11" s="508">
        <f>(SUMIFS('8 - Detailed Expenses'!$E:$E,'8 - Detailed Expenses'!$B:$B,"&lt;8/1/2013",'8 - Detailed Expenses'!$H:$H,'4 - Monthly Pgm Exp'!J$2)-SUM(J$5:J10))</f>
        <v>0</v>
      </c>
      <c r="K11" s="509">
        <f t="shared" si="0"/>
        <v>20479.191295739278</v>
      </c>
      <c r="L11" s="317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</row>
    <row r="12" spans="1:255" s="98" customFormat="1" ht="15">
      <c r="A12" s="466">
        <v>41517</v>
      </c>
      <c r="B12" s="508">
        <f>(SUMIFS('8 - Detailed Expenses'!$E:$E,'8 - Detailed Expenses'!$B:$B,"&lt;9/1/2013",'8 - Detailed Expenses'!$H:$H,'4 - Monthly Pgm Exp'!B$2)-SUM(B$5:B11))</f>
        <v>2336.3866172234557</v>
      </c>
      <c r="C12" s="508">
        <f>(SUMIFS('8 - Detailed Expenses'!$E:$E,'8 - Detailed Expenses'!$B:$B,"&lt;9/1/2013",'8 - Detailed Expenses'!$H:$H,'4 - Monthly Pgm Exp'!C$2)-SUM(C$5:C11))</f>
        <v>843.95589842068148</v>
      </c>
      <c r="D12" s="508">
        <f>(SUMIFS('8 - Detailed Expenses'!$E:$E,'8 - Detailed Expenses'!$B:$B,"&lt;9/1/2013",'8 - Detailed Expenses'!$H:$H,'4 - Monthly Pgm Exp'!D$2)-SUM(D$5:D11))</f>
        <v>4819.1986226533772</v>
      </c>
      <c r="E12" s="508">
        <f>(SUMIFS('8 - Detailed Expenses'!$E:$E,'8 - Detailed Expenses'!$B:$B,"&lt;9/1/2013",'8 - Detailed Expenses'!$H:$H,'4 - Monthly Pgm Exp'!E$2)-SUM(E$5:E11))</f>
        <v>0</v>
      </c>
      <c r="F12" s="508">
        <f>(SUMIFS('8 - Detailed Expenses'!$E:$E,'8 - Detailed Expenses'!$B:$B,"&lt;9/1/2013",'8 - Detailed Expenses'!$H:$H,'4 - Monthly Pgm Exp'!F$2)-SUM(F$5:F11))</f>
        <v>0</v>
      </c>
      <c r="G12" s="508">
        <f>(SUMIFS('8 - Detailed Expenses'!$E:$E,'8 - Detailed Expenses'!$B:$B,"&lt;9/1/2013",'8 - Detailed Expenses'!$H:$H,'4 - Monthly Pgm Exp'!G$2)-SUM(G$5:G11))</f>
        <v>0</v>
      </c>
      <c r="H12" s="508">
        <f>(SUMIFS('8 - Detailed Expenses'!$E:$E,'8 - Detailed Expenses'!$B:$B,"&lt;9/1/2013",'8 - Detailed Expenses'!$H:$H,'4 - Monthly Pgm Exp'!H$2)-SUM(H$5:H11))</f>
        <v>0</v>
      </c>
      <c r="I12" s="508">
        <f>(SUMIFS('8 - Detailed Expenses'!$E:$E,'8 - Detailed Expenses'!$B:$B,"&lt;9/1/2013",'8 - Detailed Expenses'!$H:$H,'4 - Monthly Pgm Exp'!I$2)-SUM(I$5:I11))</f>
        <v>200</v>
      </c>
      <c r="J12" s="508">
        <f>(SUMIFS('8 - Detailed Expenses'!$E:$E,'8 - Detailed Expenses'!$B:$B,"&lt;9/1/2013",'8 - Detailed Expenses'!$H:$H,'4 - Monthly Pgm Exp'!J$2)-SUM(J$5:J11))</f>
        <v>0</v>
      </c>
      <c r="K12" s="509">
        <f t="shared" si="0"/>
        <v>8199.5411382975144</v>
      </c>
      <c r="L12" s="317"/>
    </row>
    <row r="13" spans="1:255" s="98" customFormat="1" ht="15">
      <c r="A13" s="466">
        <v>41547</v>
      </c>
      <c r="B13" s="508">
        <f>(SUMIFS('8 - Detailed Expenses'!$E:$E,'8 - Detailed Expenses'!$B:$B,"&lt;10/1/2013",'8 - Detailed Expenses'!$H:$H,'4 - Monthly Pgm Exp'!B$2)-SUM(B$5:B12))</f>
        <v>10477.229670165158</v>
      </c>
      <c r="C13" s="508">
        <f>(SUMIFS('8 - Detailed Expenses'!$E:$E,'8 - Detailed Expenses'!$B:$B,"&lt;10/1/2013",'8 - Detailed Expenses'!$H:$H,'4 - Monthly Pgm Exp'!C$2)-SUM(C$5:C12))</f>
        <v>14892.512691239324</v>
      </c>
      <c r="D13" s="508">
        <f>(SUMIFS('8 - Detailed Expenses'!$E:$E,'8 - Detailed Expenses'!$B:$B,"&lt;10/1/2013",'8 - Detailed Expenses'!$H:$H,'4 - Monthly Pgm Exp'!D$2)-SUM(D$5:D12))</f>
        <v>13927.393313151828</v>
      </c>
      <c r="E13" s="508">
        <f>(SUMIFS('8 - Detailed Expenses'!$E:$E,'8 - Detailed Expenses'!$B:$B,"&lt;10/1/2013",'8 - Detailed Expenses'!$H:$H,'4 - Monthly Pgm Exp'!E$2)-SUM(E$5:E12))</f>
        <v>0</v>
      </c>
      <c r="F13" s="508">
        <f>(SUMIFS('8 - Detailed Expenses'!$E:$E,'8 - Detailed Expenses'!$B:$B,"&lt;10/1/2013",'8 - Detailed Expenses'!$H:$H,'4 - Monthly Pgm Exp'!F$2)-SUM(F$5:F12))</f>
        <v>14500</v>
      </c>
      <c r="G13" s="508">
        <f>(SUMIFS('8 - Detailed Expenses'!$E:$E,'8 - Detailed Expenses'!$B:$B,"&lt;10/1/2013",'8 - Detailed Expenses'!$H:$H,'4 - Monthly Pgm Exp'!G$2)-SUM(G$5:G12))</f>
        <v>0</v>
      </c>
      <c r="H13" s="508">
        <f>(SUMIFS('8 - Detailed Expenses'!$E:$E,'8 - Detailed Expenses'!$B:$B,"&lt;10/1/2013",'8 - Detailed Expenses'!$H:$H,'4 - Monthly Pgm Exp'!H$2)-SUM(H$5:H12))</f>
        <v>0</v>
      </c>
      <c r="I13" s="508">
        <f>(SUMIFS('8 - Detailed Expenses'!$E:$E,'8 - Detailed Expenses'!$B:$B,"&lt;10/1/2013",'8 - Detailed Expenses'!$H:$H,'4 - Monthly Pgm Exp'!I$2)-SUM(I$5:I12))</f>
        <v>400</v>
      </c>
      <c r="J13" s="508">
        <f>(SUMIFS('8 - Detailed Expenses'!$E:$E,'8 - Detailed Expenses'!$B:$B,"&lt;10/1/2013",'8 - Detailed Expenses'!$H:$H,'4 - Monthly Pgm Exp'!J$2)-SUM(J$5:J12))</f>
        <v>0</v>
      </c>
      <c r="K13" s="509">
        <f t="shared" si="0"/>
        <v>54197.13567455631</v>
      </c>
      <c r="L13" s="317"/>
    </row>
    <row r="14" spans="1:255" s="98" customFormat="1" ht="15">
      <c r="A14" s="466">
        <v>41578</v>
      </c>
      <c r="B14" s="508">
        <f>(SUMIFS('8 - Detailed Expenses'!$E:$E,'8 - Detailed Expenses'!$B:$B,"&lt;11/1/2013",'8 - Detailed Expenses'!$H:$H,'4 - Monthly Pgm Exp'!B$2)-SUM(B$5:B13))</f>
        <v>2632.0960046966429</v>
      </c>
      <c r="C14" s="508">
        <f>(SUMIFS('8 - Detailed Expenses'!$E:$E,'8 - Detailed Expenses'!$B:$B,"&lt;11/1/2013",'8 - Detailed Expenses'!$H:$H,'4 - Monthly Pgm Exp'!C$2)-SUM(C$5:C13))</f>
        <v>12979.697883183726</v>
      </c>
      <c r="D14" s="508">
        <f>(SUMIFS('8 - Detailed Expenses'!$E:$E,'8 - Detailed Expenses'!$B:$B,"&lt;11/1/2013",'8 - Detailed Expenses'!$H:$H,'4 - Monthly Pgm Exp'!D$2)-SUM(D$5:D13))</f>
        <v>9219.0086271504988</v>
      </c>
      <c r="E14" s="508">
        <f>(SUMIFS('8 - Detailed Expenses'!$E:$E,'8 - Detailed Expenses'!$B:$B,"&lt;11/1/2013",'8 - Detailed Expenses'!$H:$H,'4 - Monthly Pgm Exp'!E$2)-SUM(E$5:E13))</f>
        <v>0</v>
      </c>
      <c r="F14" s="508">
        <f>(SUMIFS('8 - Detailed Expenses'!$E:$E,'8 - Detailed Expenses'!$B:$B,"&lt;11/1/2013",'8 - Detailed Expenses'!$H:$H,'4 - Monthly Pgm Exp'!F$2)-SUM(F$5:F13))</f>
        <v>0</v>
      </c>
      <c r="G14" s="508">
        <f>(SUMIFS('8 - Detailed Expenses'!$E:$E,'8 - Detailed Expenses'!$B:$B,"&lt;11/1/2013",'8 - Detailed Expenses'!$H:$H,'4 - Monthly Pgm Exp'!G$2)-SUM(G$5:G13))</f>
        <v>0</v>
      </c>
      <c r="H14" s="508">
        <f>(SUMIFS('8 - Detailed Expenses'!$E:$E,'8 - Detailed Expenses'!$B:$B,"&lt;11/1/2013",'8 - Detailed Expenses'!$H:$H,'4 - Monthly Pgm Exp'!H$2)-SUM(H$5:H13))</f>
        <v>0</v>
      </c>
      <c r="I14" s="508">
        <f>(SUMIFS('8 - Detailed Expenses'!$E:$E,'8 - Detailed Expenses'!$B:$B,"&lt;11/1/2013",'8 - Detailed Expenses'!$H:$H,'4 - Monthly Pgm Exp'!I$2)-SUM(I$5:I13))</f>
        <v>0</v>
      </c>
      <c r="J14" s="508">
        <f>(SUMIFS('8 - Detailed Expenses'!$E:$E,'8 - Detailed Expenses'!$B:$B,"&lt;11/1/2013",'8 - Detailed Expenses'!$H:$H,'4 - Monthly Pgm Exp'!J$2)-SUM(J$5:J13))</f>
        <v>0</v>
      </c>
      <c r="K14" s="509">
        <f t="shared" si="0"/>
        <v>24830.802515030868</v>
      </c>
      <c r="L14" s="317"/>
    </row>
    <row r="15" spans="1:255" s="98" customFormat="1" ht="15">
      <c r="A15" s="466">
        <v>41608</v>
      </c>
      <c r="B15" s="508">
        <f>(SUMIFS('8 - Detailed Expenses'!$E:$E,'8 - Detailed Expenses'!$B:$B,"&lt;12/1/2013",'8 - Detailed Expenses'!$H:$H,'4 - Monthly Pgm Exp'!B$2)-SUM(B$5:B14))</f>
        <v>1335.5933050212334</v>
      </c>
      <c r="C15" s="508">
        <f>(SUMIFS('8 - Detailed Expenses'!$E:$E,'8 - Detailed Expenses'!$B:$B,"&lt;12/1/2013",'8 - Detailed Expenses'!$H:$H,'4 - Monthly Pgm Exp'!C$2)-SUM(C$5:C14))</f>
        <v>0</v>
      </c>
      <c r="D15" s="508">
        <f>(SUMIFS('8 - Detailed Expenses'!$E:$E,'8 - Detailed Expenses'!$B:$B,"&lt;12/1/2013",'8 - Detailed Expenses'!$H:$H,'4 - Monthly Pgm Exp'!D$2)-SUM(D$5:D14))</f>
        <v>7009.7912199183775</v>
      </c>
      <c r="E15" s="508">
        <f>(SUMIFS('8 - Detailed Expenses'!$E:$E,'8 - Detailed Expenses'!$B:$B,"&lt;12/1/2013",'8 - Detailed Expenses'!$H:$H,'4 - Monthly Pgm Exp'!E$2)-SUM(E$5:E14))</f>
        <v>0</v>
      </c>
      <c r="F15" s="508">
        <f>(SUMIFS('8 - Detailed Expenses'!$E:$E,'8 - Detailed Expenses'!$B:$B,"&lt;12/1/2013",'8 - Detailed Expenses'!$H:$H,'4 - Monthly Pgm Exp'!F$2)-SUM(F$5:F14))</f>
        <v>0</v>
      </c>
      <c r="G15" s="508">
        <f>(SUMIFS('8 - Detailed Expenses'!$E:$E,'8 - Detailed Expenses'!$B:$B,"&lt;12/1/2013",'8 - Detailed Expenses'!$H:$H,'4 - Monthly Pgm Exp'!G$2)-SUM(G$5:G14))</f>
        <v>0</v>
      </c>
      <c r="H15" s="508">
        <f>(SUMIFS('8 - Detailed Expenses'!$E:$E,'8 - Detailed Expenses'!$B:$B,"&lt;12/1/2013",'8 - Detailed Expenses'!$H:$H,'4 - Monthly Pgm Exp'!H$2)-SUM(H$5:H14))</f>
        <v>0</v>
      </c>
      <c r="I15" s="508">
        <f>(SUMIFS('8 - Detailed Expenses'!$E:$E,'8 - Detailed Expenses'!$B:$B,"&lt;12/1/2013",'8 - Detailed Expenses'!$H:$H,'4 - Monthly Pgm Exp'!I$2)-SUM(I$5:I14))</f>
        <v>200</v>
      </c>
      <c r="J15" s="508">
        <f>(SUMIFS('8 - Detailed Expenses'!$E:$E,'8 - Detailed Expenses'!$B:$B,"&lt;12/1/2013",'8 - Detailed Expenses'!$H:$H,'4 - Monthly Pgm Exp'!J$2)-SUM(J$5:J14))</f>
        <v>0</v>
      </c>
      <c r="K15" s="509">
        <f t="shared" si="0"/>
        <v>8545.3845249396109</v>
      </c>
      <c r="L15" s="317"/>
    </row>
    <row r="16" spans="1:255" s="98" customFormat="1" ht="15">
      <c r="A16" s="466">
        <v>41639</v>
      </c>
      <c r="B16" s="508">
        <f>(SUMIFS('8 - Detailed Expenses'!$E:$E,'8 - Detailed Expenses'!$B:$B,"&lt;1/1/2014",'8 - Detailed Expenses'!$H:$H,'4 - Monthly Pgm Exp'!B$2)-SUM(B$5:B15))</f>
        <v>32315.638110493208</v>
      </c>
      <c r="C16" s="508">
        <f>(SUMIFS('8 - Detailed Expenses'!$E:$E,'8 - Detailed Expenses'!$B:$B,"&lt;1/1/2014",'8 - Detailed Expenses'!$H:$H,'4 - Monthly Pgm Exp'!C$2)-SUM(C$5:C15))</f>
        <v>0</v>
      </c>
      <c r="D16" s="508">
        <f>(SUMIFS('8 - Detailed Expenses'!$E:$E,'8 - Detailed Expenses'!$B:$B,"&lt;1/1/2014",'8 - Detailed Expenses'!$H:$H,'4 - Monthly Pgm Exp'!D$2)-SUM(D$5:D15))</f>
        <v>15100.617009557449</v>
      </c>
      <c r="E16" s="508">
        <f>(SUMIFS('8 - Detailed Expenses'!$E:$E,'8 - Detailed Expenses'!$B:$B,"&lt;1/1/2014",'8 - Detailed Expenses'!$H:$H,'4 - Monthly Pgm Exp'!E$2)-SUM(E$5:E15))</f>
        <v>0</v>
      </c>
      <c r="F16" s="508">
        <f>(SUMIFS('8 - Detailed Expenses'!$E:$E,'8 - Detailed Expenses'!$B:$B,"&lt;1/1/2014",'8 - Detailed Expenses'!$H:$H,'4 - Monthly Pgm Exp'!F$2)-SUM(F$5:F15))</f>
        <v>23750</v>
      </c>
      <c r="G16" s="508">
        <f>(SUMIFS('8 - Detailed Expenses'!$E:$E,'8 - Detailed Expenses'!$B:$B,"&lt;1/1/2014",'8 - Detailed Expenses'!$H:$H,'4 - Monthly Pgm Exp'!G$2)-SUM(G$5:G15))</f>
        <v>0</v>
      </c>
      <c r="H16" s="508">
        <f>(SUMIFS('8 - Detailed Expenses'!$E:$E,'8 - Detailed Expenses'!$B:$B,"&lt;1/1/2014",'8 - Detailed Expenses'!$H:$H,'4 - Monthly Pgm Exp'!H$2)-SUM(H$5:H15))</f>
        <v>0</v>
      </c>
      <c r="I16" s="508">
        <f>(SUMIFS('8 - Detailed Expenses'!$E:$E,'8 - Detailed Expenses'!$B:$B,"&lt;1/1/2014",'8 - Detailed Expenses'!$H:$H,'4 - Monthly Pgm Exp'!I$2)-SUM(I$5:I15))</f>
        <v>200</v>
      </c>
      <c r="J16" s="508">
        <f>(SUMIFS('8 - Detailed Expenses'!$E:$E,'8 - Detailed Expenses'!$B:$B,"&lt;1/1/2014",'8 - Detailed Expenses'!$H:$H,'4 - Monthly Pgm Exp'!J$2)-SUM(J$5:J15))</f>
        <v>0</v>
      </c>
      <c r="K16" s="509">
        <f t="shared" si="0"/>
        <v>71366.255120050657</v>
      </c>
      <c r="L16" s="317"/>
    </row>
    <row r="17" spans="1:255" s="319" customFormat="1" ht="16">
      <c r="A17" s="335" t="s">
        <v>278</v>
      </c>
      <c r="B17" s="336">
        <f>SUM(B5:B16)</f>
        <v>99096.120203527506</v>
      </c>
      <c r="C17" s="336">
        <f>SUM(C5:C16)</f>
        <v>61611.621633114017</v>
      </c>
      <c r="D17" s="336">
        <f t="shared" ref="D17:K17" si="1">SUM(D5:D16)</f>
        <v>122419.72047733291</v>
      </c>
      <c r="E17" s="336">
        <f t="shared" si="1"/>
        <v>2973.6108903758713</v>
      </c>
      <c r="F17" s="336">
        <f t="shared" si="1"/>
        <v>43250</v>
      </c>
      <c r="G17" s="336">
        <f t="shared" si="1"/>
        <v>0</v>
      </c>
      <c r="H17" s="336">
        <f t="shared" si="1"/>
        <v>3845</v>
      </c>
      <c r="I17" s="336">
        <f t="shared" si="1"/>
        <v>7370.0798720245193</v>
      </c>
      <c r="J17" s="336"/>
      <c r="K17" s="336">
        <f t="shared" si="1"/>
        <v>340566.15307637479</v>
      </c>
      <c r="L17" s="318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T17" s="139"/>
      <c r="GU17" s="139"/>
      <c r="GV17" s="139"/>
      <c r="GW17" s="139"/>
      <c r="GX17" s="139"/>
      <c r="GY17" s="139"/>
      <c r="GZ17" s="139"/>
      <c r="HA17" s="139"/>
      <c r="HB17" s="139"/>
      <c r="HC17" s="139"/>
      <c r="HD17" s="139"/>
      <c r="HE17" s="139"/>
      <c r="HF17" s="139"/>
      <c r="HG17" s="139"/>
      <c r="HH17" s="139"/>
      <c r="HI17" s="139"/>
      <c r="HJ17" s="139"/>
      <c r="HK17" s="139"/>
      <c r="HL17" s="139"/>
      <c r="HM17" s="139"/>
      <c r="HN17" s="139"/>
      <c r="HO17" s="139"/>
      <c r="HP17" s="139"/>
      <c r="HQ17" s="139"/>
      <c r="HR17" s="139"/>
      <c r="HS17" s="139"/>
      <c r="HT17" s="139"/>
      <c r="HU17" s="139"/>
      <c r="HV17" s="139"/>
      <c r="HW17" s="139"/>
      <c r="HX17" s="139"/>
      <c r="HY17" s="139"/>
      <c r="HZ17" s="139"/>
      <c r="IA17" s="139"/>
      <c r="IB17" s="139"/>
      <c r="IC17" s="139"/>
      <c r="ID17" s="139"/>
      <c r="IE17" s="139"/>
      <c r="IF17" s="139"/>
      <c r="IG17" s="139"/>
      <c r="IH17" s="139"/>
      <c r="II17" s="139"/>
      <c r="IJ17" s="139"/>
      <c r="IK17" s="139"/>
      <c r="IL17" s="139"/>
      <c r="IM17" s="139"/>
      <c r="IN17" s="139"/>
      <c r="IO17" s="139"/>
      <c r="IP17" s="139"/>
      <c r="IQ17" s="139"/>
      <c r="IR17" s="139"/>
      <c r="IS17" s="139"/>
      <c r="IT17" s="139"/>
      <c r="IU17" s="139"/>
    </row>
    <row r="18" spans="1:255" s="321" customFormat="1">
      <c r="A18" s="137"/>
      <c r="B18" s="337">
        <f t="shared" ref="B18:K18" si="2">B17/$K$17</f>
        <v>0.29097465883905493</v>
      </c>
      <c r="C18" s="337">
        <f t="shared" si="2"/>
        <v>0.1809094094541365</v>
      </c>
      <c r="D18" s="337">
        <f t="shared" si="2"/>
        <v>0.35945944531334351</v>
      </c>
      <c r="E18" s="337">
        <f t="shared" si="2"/>
        <v>8.7313752805875996E-3</v>
      </c>
      <c r="F18" s="337">
        <f t="shared" si="2"/>
        <v>0.12699441682421339</v>
      </c>
      <c r="G18" s="337">
        <f t="shared" si="2"/>
        <v>0</v>
      </c>
      <c r="H18" s="337">
        <f t="shared" si="2"/>
        <v>1.1290023877204635E-2</v>
      </c>
      <c r="I18" s="337">
        <f t="shared" si="2"/>
        <v>2.1640670411459586E-2</v>
      </c>
      <c r="J18" s="337"/>
      <c r="K18" s="338">
        <f t="shared" si="2"/>
        <v>1</v>
      </c>
      <c r="L18" s="320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8"/>
      <c r="EL18" s="138"/>
      <c r="EM18" s="138"/>
      <c r="EN18" s="138"/>
      <c r="EO18" s="138"/>
      <c r="EP18" s="138"/>
      <c r="EQ18" s="138"/>
      <c r="ER18" s="138"/>
      <c r="ES18" s="138"/>
      <c r="ET18" s="138"/>
      <c r="EU18" s="138"/>
      <c r="EV18" s="138"/>
      <c r="EW18" s="138"/>
      <c r="EX18" s="138"/>
      <c r="EY18" s="138"/>
      <c r="EZ18" s="138"/>
      <c r="FA18" s="138"/>
      <c r="FB18" s="138"/>
      <c r="FC18" s="138"/>
      <c r="FD18" s="138"/>
      <c r="FE18" s="138"/>
      <c r="FF18" s="138"/>
      <c r="FG18" s="138"/>
      <c r="FH18" s="138"/>
      <c r="FI18" s="138"/>
      <c r="FJ18" s="138"/>
      <c r="FK18" s="138"/>
      <c r="FL18" s="138"/>
      <c r="FM18" s="138"/>
      <c r="FN18" s="138"/>
      <c r="FO18" s="138"/>
      <c r="FP18" s="138"/>
      <c r="FQ18" s="138"/>
      <c r="FR18" s="138"/>
      <c r="FS18" s="138"/>
      <c r="FT18" s="138"/>
      <c r="FU18" s="138"/>
      <c r="FV18" s="138"/>
      <c r="FW18" s="138"/>
      <c r="FX18" s="138"/>
      <c r="FY18" s="138"/>
      <c r="FZ18" s="138"/>
      <c r="GA18" s="138"/>
      <c r="GB18" s="138"/>
      <c r="GC18" s="138"/>
      <c r="GD18" s="138"/>
      <c r="GE18" s="138"/>
      <c r="GF18" s="138"/>
      <c r="GG18" s="138"/>
      <c r="GH18" s="138"/>
      <c r="GI18" s="138"/>
      <c r="GJ18" s="138"/>
      <c r="GK18" s="138"/>
      <c r="GL18" s="138"/>
      <c r="GM18" s="138"/>
      <c r="GN18" s="138"/>
      <c r="GO18" s="138"/>
      <c r="GP18" s="138"/>
      <c r="GQ18" s="138"/>
      <c r="GR18" s="138"/>
      <c r="GS18" s="138"/>
      <c r="GT18" s="138"/>
      <c r="GU18" s="138"/>
      <c r="GV18" s="138"/>
      <c r="GW18" s="138"/>
      <c r="GX18" s="138"/>
      <c r="GY18" s="138"/>
      <c r="GZ18" s="138"/>
      <c r="HA18" s="138"/>
      <c r="HB18" s="138"/>
      <c r="HC18" s="138"/>
      <c r="HD18" s="138"/>
      <c r="HE18" s="138"/>
      <c r="HF18" s="138"/>
      <c r="HG18" s="138"/>
      <c r="HH18" s="138"/>
      <c r="HI18" s="138"/>
      <c r="HJ18" s="138"/>
      <c r="HK18" s="138"/>
      <c r="HL18" s="138"/>
      <c r="HM18" s="138"/>
      <c r="HN18" s="138"/>
      <c r="HO18" s="138"/>
      <c r="HP18" s="138"/>
      <c r="HQ18" s="138"/>
      <c r="HR18" s="138"/>
      <c r="HS18" s="138"/>
      <c r="HT18" s="138"/>
      <c r="HU18" s="138"/>
      <c r="HV18" s="138"/>
      <c r="HW18" s="138"/>
      <c r="HX18" s="138"/>
      <c r="HY18" s="138"/>
      <c r="HZ18" s="138"/>
      <c r="IA18" s="138"/>
      <c r="IB18" s="138"/>
      <c r="IC18" s="138"/>
      <c r="ID18" s="138"/>
      <c r="IE18" s="138"/>
      <c r="IF18" s="138"/>
      <c r="IG18" s="138"/>
      <c r="IH18" s="138"/>
      <c r="II18" s="138"/>
      <c r="IJ18" s="138"/>
      <c r="IK18" s="138"/>
      <c r="IL18" s="138"/>
      <c r="IM18" s="138"/>
      <c r="IN18" s="138"/>
      <c r="IO18" s="138"/>
      <c r="IP18" s="138"/>
      <c r="IQ18" s="138"/>
      <c r="IR18" s="138"/>
      <c r="IS18" s="138"/>
      <c r="IT18" s="138"/>
      <c r="IU18" s="138"/>
    </row>
    <row r="19" spans="1:255">
      <c r="A19" s="322"/>
      <c r="B19" s="322"/>
      <c r="C19" s="322"/>
      <c r="D19" s="322"/>
      <c r="E19" s="322"/>
      <c r="F19" s="322"/>
      <c r="G19" s="322"/>
      <c r="I19" s="322"/>
      <c r="J19" s="322"/>
      <c r="K19" s="323"/>
      <c r="L19" s="315"/>
    </row>
    <row r="20" spans="1:255" s="326" customFormat="1">
      <c r="A20" s="324" t="s">
        <v>388</v>
      </c>
      <c r="B20" s="325">
        <f>B3-B17</f>
        <v>902.87979647249449</v>
      </c>
      <c r="C20" s="325">
        <f t="shared" ref="C20:I20" si="3">C3-C17</f>
        <v>-61611.621633114017</v>
      </c>
      <c r="D20" s="325">
        <f t="shared" si="3"/>
        <v>43580.279522667086</v>
      </c>
      <c r="E20" s="325">
        <f t="shared" si="3"/>
        <v>1526.3891096241287</v>
      </c>
      <c r="F20" s="325">
        <f t="shared" si="3"/>
        <v>10000</v>
      </c>
      <c r="G20" s="325">
        <f t="shared" si="3"/>
        <v>0</v>
      </c>
      <c r="H20" s="325">
        <f t="shared" si="3"/>
        <v>-3845</v>
      </c>
      <c r="I20" s="325">
        <f t="shared" si="3"/>
        <v>-7370.0798720245193</v>
      </c>
      <c r="J20" s="325"/>
      <c r="K20" s="323"/>
      <c r="L20" s="316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</row>
    <row r="21" spans="1:255">
      <c r="A21" s="322"/>
      <c r="B21" s="322"/>
      <c r="C21" s="322"/>
      <c r="D21" s="322"/>
      <c r="E21" s="322"/>
      <c r="F21" s="322"/>
      <c r="G21" s="322"/>
      <c r="I21" s="327"/>
      <c r="J21" s="327"/>
      <c r="K21" s="323"/>
      <c r="L21" s="315"/>
    </row>
    <row r="22" spans="1:255">
      <c r="A22" s="322"/>
      <c r="B22" s="322"/>
      <c r="C22" s="322"/>
      <c r="D22" s="322"/>
      <c r="E22" s="322"/>
      <c r="F22" s="322"/>
      <c r="G22" s="322"/>
      <c r="I22" s="328"/>
      <c r="J22" s="328"/>
      <c r="K22" s="323"/>
      <c r="L22" s="315"/>
    </row>
    <row r="23" spans="1:255">
      <c r="A23" s="322"/>
      <c r="B23" s="322"/>
      <c r="C23" s="322"/>
      <c r="D23" s="322"/>
      <c r="E23" s="322"/>
      <c r="F23" s="322"/>
      <c r="G23" s="322"/>
      <c r="I23" s="322"/>
      <c r="J23" s="322"/>
      <c r="K23" s="323"/>
      <c r="L23" s="315"/>
    </row>
    <row r="24" spans="1:255">
      <c r="A24" s="322"/>
      <c r="B24" s="322"/>
      <c r="C24" s="322"/>
      <c r="D24" s="322"/>
      <c r="E24" s="322"/>
      <c r="F24" s="322"/>
      <c r="G24" s="322"/>
      <c r="I24" s="322"/>
      <c r="J24" s="322"/>
      <c r="K24" s="323"/>
      <c r="L24" s="315"/>
    </row>
  </sheetData>
  <mergeCells count="2">
    <mergeCell ref="B1:F1"/>
    <mergeCell ref="G1:J1"/>
  </mergeCells>
  <phoneticPr fontId="51" type="noConversion"/>
  <pageMargins left="0.7" right="0.7" top="0.75" bottom="0.75" header="0.3" footer="0.3"/>
  <pageSetup orientation="portrait" horizontalDpi="4294967292" verticalDpi="4294967292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54"/>
  <sheetViews>
    <sheetView zoomScaleSheetLayoutView="100" workbookViewId="0">
      <pane xSplit="1" ySplit="1" topLeftCell="B2" activePane="bottomRight" state="frozenSplit"/>
      <selection pane="topRight"/>
      <selection pane="bottomLeft"/>
      <selection pane="bottomRight" activeCell="A6" sqref="A6"/>
    </sheetView>
  </sheetViews>
  <sheetFormatPr baseColWidth="10" defaultColWidth="11" defaultRowHeight="12.75" customHeight="1" x14ac:dyDescent="0"/>
  <cols>
    <col min="1" max="1" width="92.33203125" style="98" bestFit="1" customWidth="1"/>
    <col min="2" max="2" width="13.6640625" style="379" bestFit="1" customWidth="1"/>
    <col min="3" max="16384" width="11" style="314"/>
  </cols>
  <sheetData>
    <row r="1" spans="1:2" s="339" customFormat="1" ht="15">
      <c r="A1" s="518" t="s">
        <v>1067</v>
      </c>
      <c r="B1" s="519"/>
    </row>
    <row r="2" spans="1:2" s="340" customFormat="1" ht="23" customHeight="1">
      <c r="A2" s="510" t="s">
        <v>334</v>
      </c>
      <c r="B2" s="511" t="s">
        <v>333</v>
      </c>
    </row>
    <row r="3" spans="1:2" ht="19" customHeight="1">
      <c r="A3" s="96" t="s">
        <v>42</v>
      </c>
      <c r="B3" s="512">
        <f>'6 - P&amp;L Program Detail'!K3</f>
        <v>0</v>
      </c>
    </row>
    <row r="4" spans="1:2" ht="19" customHeight="1">
      <c r="A4" s="96" t="s">
        <v>43</v>
      </c>
      <c r="B4" s="512">
        <f>'6 - P&amp;L Program Detail'!K4</f>
        <v>0</v>
      </c>
    </row>
    <row r="5" spans="1:2" ht="19" customHeight="1">
      <c r="A5" s="96" t="s">
        <v>44</v>
      </c>
      <c r="B5" s="512">
        <f>'6 - P&amp;L Program Detail'!K5</f>
        <v>0</v>
      </c>
    </row>
    <row r="6" spans="1:2" ht="19" customHeight="1">
      <c r="A6" s="96" t="s">
        <v>45</v>
      </c>
      <c r="B6" s="512">
        <f>'6 - P&amp;L Program Detail'!K6</f>
        <v>0</v>
      </c>
    </row>
    <row r="7" spans="1:2" ht="19" customHeight="1">
      <c r="A7" s="96" t="s">
        <v>46</v>
      </c>
      <c r="B7" s="512">
        <f>'6 - P&amp;L Program Detail'!K7</f>
        <v>292088.98760914605</v>
      </c>
    </row>
    <row r="8" spans="1:2" ht="15">
      <c r="A8" s="96" t="s">
        <v>47</v>
      </c>
      <c r="B8" s="512">
        <f>'6 - P&amp;L Program Detail'!K8</f>
        <v>0</v>
      </c>
    </row>
    <row r="9" spans="1:2" s="339" customFormat="1" ht="15">
      <c r="A9" s="96" t="s">
        <v>48</v>
      </c>
      <c r="B9" s="512">
        <f>'6 - P&amp;L Program Detail'!K9</f>
        <v>186.83144366773601</v>
      </c>
    </row>
    <row r="10" spans="1:2" ht="15">
      <c r="A10" s="111" t="s">
        <v>447</v>
      </c>
      <c r="B10" s="513">
        <f>SUM(B3:B9)</f>
        <v>292275.81905281381</v>
      </c>
    </row>
    <row r="11" spans="1:2" s="340" customFormat="1" ht="28" customHeight="1">
      <c r="A11" s="112"/>
      <c r="B11" s="514"/>
    </row>
    <row r="12" spans="1:2" ht="15">
      <c r="A12" s="510" t="s">
        <v>125</v>
      </c>
      <c r="B12" s="510" t="s">
        <v>333</v>
      </c>
    </row>
    <row r="13" spans="1:2" ht="15">
      <c r="A13" s="96" t="s">
        <v>1057</v>
      </c>
      <c r="B13" s="512">
        <f>'6 - P&amp;L Program Detail'!K15</f>
        <v>0</v>
      </c>
    </row>
    <row r="14" spans="1:2" ht="15">
      <c r="A14" s="96" t="s">
        <v>1058</v>
      </c>
      <c r="B14" s="512">
        <f>'6 - P&amp;L Program Detail'!K16</f>
        <v>0</v>
      </c>
    </row>
    <row r="15" spans="1:2" s="10" customFormat="1" ht="18" customHeight="1">
      <c r="A15" s="96" t="s">
        <v>1059</v>
      </c>
      <c r="B15" s="512">
        <f>'6 - P&amp;L Program Detail'!K17</f>
        <v>0</v>
      </c>
    </row>
    <row r="16" spans="1:2" ht="18" customHeight="1">
      <c r="A16" s="96" t="s">
        <v>1060</v>
      </c>
      <c r="B16" s="512">
        <f>'6 - P&amp;L Program Detail'!K18</f>
        <v>0</v>
      </c>
    </row>
    <row r="17" spans="1:2" ht="18" customHeight="1">
      <c r="A17" s="96" t="s">
        <v>51</v>
      </c>
      <c r="B17" s="512">
        <f>'6 - P&amp;L Program Detail'!K19</f>
        <v>33150.562087072074</v>
      </c>
    </row>
    <row r="18" spans="1:2" ht="18" customHeight="1">
      <c r="A18" s="96" t="s">
        <v>1061</v>
      </c>
      <c r="B18" s="512">
        <f>'6 - P&amp;L Program Detail'!K20</f>
        <v>0</v>
      </c>
    </row>
    <row r="19" spans="1:2" s="10" customFormat="1" ht="18" customHeight="1">
      <c r="A19" s="96" t="s">
        <v>20</v>
      </c>
      <c r="B19" s="512">
        <f>'6 - P&amp;L Program Detail'!K21</f>
        <v>9721.5932443281872</v>
      </c>
    </row>
    <row r="20" spans="1:2" s="10" customFormat="1" ht="18" customHeight="1">
      <c r="A20" s="96" t="s">
        <v>1062</v>
      </c>
      <c r="B20" s="512">
        <f>'6 - P&amp;L Program Detail'!K22</f>
        <v>0</v>
      </c>
    </row>
    <row r="21" spans="1:2" s="10" customFormat="1" ht="18" customHeight="1">
      <c r="A21" s="96" t="s">
        <v>126</v>
      </c>
      <c r="B21" s="512">
        <f>'6 - P&amp;L Program Detail'!K23</f>
        <v>10329.741470889903</v>
      </c>
    </row>
    <row r="22" spans="1:2" s="10" customFormat="1" ht="18" customHeight="1">
      <c r="A22" s="96" t="s">
        <v>127</v>
      </c>
      <c r="B22" s="512">
        <f>'6 - P&amp;L Program Detail'!K24</f>
        <v>1823.5748403653117</v>
      </c>
    </row>
    <row r="23" spans="1:2" s="10" customFormat="1" ht="18" customHeight="1">
      <c r="A23" s="96" t="s">
        <v>108</v>
      </c>
      <c r="B23" s="512">
        <f>'6 - P&amp;L Program Detail'!K25</f>
        <v>70010.480427662507</v>
      </c>
    </row>
    <row r="24" spans="1:2" s="10" customFormat="1" ht="18" customHeight="1">
      <c r="A24" s="96" t="s">
        <v>110</v>
      </c>
      <c r="B24" s="512">
        <f>'6 - P&amp;L Program Detail'!K26</f>
        <v>3845</v>
      </c>
    </row>
    <row r="25" spans="1:2" s="10" customFormat="1" ht="18" customHeight="1">
      <c r="A25" s="96" t="s">
        <v>107</v>
      </c>
      <c r="B25" s="512">
        <f>'6 - P&amp;L Program Detail'!K27</f>
        <v>5490.1968565423876</v>
      </c>
    </row>
    <row r="26" spans="1:2" s="10" customFormat="1" ht="18" customHeight="1">
      <c r="A26" s="96" t="s">
        <v>128</v>
      </c>
      <c r="B26" s="512">
        <f>'6 - P&amp;L Program Detail'!K28</f>
        <v>0</v>
      </c>
    </row>
    <row r="27" spans="1:2" s="10" customFormat="1" ht="18" customHeight="1">
      <c r="A27" s="96" t="s">
        <v>129</v>
      </c>
      <c r="B27" s="512">
        <f>'6 - P&amp;L Program Detail'!K29</f>
        <v>0</v>
      </c>
    </row>
    <row r="28" spans="1:2" s="10" customFormat="1" ht="18" customHeight="1">
      <c r="A28" s="96" t="s">
        <v>130</v>
      </c>
      <c r="B28" s="512">
        <f>'6 - P&amp;L Program Detail'!K30</f>
        <v>0</v>
      </c>
    </row>
    <row r="29" spans="1:2" s="10" customFormat="1" ht="18" customHeight="1">
      <c r="A29" s="96" t="s">
        <v>109</v>
      </c>
      <c r="B29" s="512">
        <f>'6 - P&amp;L Program Detail'!K31</f>
        <v>30005.645535334777</v>
      </c>
    </row>
    <row r="30" spans="1:2" ht="18" customHeight="1">
      <c r="A30" s="96" t="s">
        <v>131</v>
      </c>
      <c r="B30" s="512">
        <f>'6 - P&amp;L Program Detail'!K32</f>
        <v>0</v>
      </c>
    </row>
    <row r="31" spans="1:2" s="10" customFormat="1" ht="18" customHeight="1">
      <c r="A31" s="96" t="s">
        <v>114</v>
      </c>
      <c r="B31" s="512">
        <f>'6 - P&amp;L Program Detail'!K33</f>
        <v>4564.4123375250329</v>
      </c>
    </row>
    <row r="32" spans="1:2" s="10" customFormat="1" ht="18" customHeight="1">
      <c r="A32" s="96" t="s">
        <v>111</v>
      </c>
      <c r="B32" s="512">
        <f>'6 - P&amp;L Program Detail'!K34</f>
        <v>66590.057204869678</v>
      </c>
    </row>
    <row r="33" spans="1:2" s="10" customFormat="1" ht="18" customHeight="1">
      <c r="A33" s="96" t="s">
        <v>1063</v>
      </c>
      <c r="B33" s="512">
        <f>'6 - P&amp;L Program Detail'!K35</f>
        <v>0</v>
      </c>
    </row>
    <row r="34" spans="1:2" s="10" customFormat="1" ht="18" customHeight="1">
      <c r="A34" s="96" t="s">
        <v>113</v>
      </c>
      <c r="B34" s="512">
        <f>'6 - P&amp;L Program Detail'!K36</f>
        <v>49543.170760758294</v>
      </c>
    </row>
    <row r="35" spans="1:2" ht="18" customHeight="1">
      <c r="A35" s="96" t="s">
        <v>132</v>
      </c>
      <c r="B35" s="512">
        <f>'6 - P&amp;L Program Detail'!K37</f>
        <v>19421.859691846093</v>
      </c>
    </row>
    <row r="36" spans="1:2" s="10" customFormat="1" ht="18" customHeight="1">
      <c r="A36" s="96" t="s">
        <v>1064</v>
      </c>
      <c r="B36" s="512">
        <f>'6 - P&amp;L Program Detail'!K38</f>
        <v>0</v>
      </c>
    </row>
    <row r="37" spans="1:2" ht="18" customHeight="1">
      <c r="A37" s="96" t="s">
        <v>106</v>
      </c>
      <c r="B37" s="512">
        <f>'6 - P&amp;L Program Detail'!K39</f>
        <v>13841.546263538799</v>
      </c>
    </row>
    <row r="38" spans="1:2" ht="18" customHeight="1">
      <c r="A38" s="96" t="s">
        <v>1065</v>
      </c>
      <c r="B38" s="512">
        <f>'6 - P&amp;L Program Detail'!K40</f>
        <v>0</v>
      </c>
    </row>
    <row r="39" spans="1:2" ht="18" customHeight="1">
      <c r="A39" s="96" t="s">
        <v>133</v>
      </c>
      <c r="B39" s="512">
        <f>'6 - P&amp;L Program Detail'!K41</f>
        <v>14500</v>
      </c>
    </row>
    <row r="40" spans="1:2" ht="18" customHeight="1">
      <c r="A40" s="96" t="s">
        <v>1066</v>
      </c>
      <c r="B40" s="512">
        <f>'6 - P&amp;L Program Detail'!K42</f>
        <v>0</v>
      </c>
    </row>
    <row r="41" spans="1:2" s="10" customFormat="1" ht="18" customHeight="1">
      <c r="A41" s="96" t="s">
        <v>112</v>
      </c>
      <c r="B41" s="512">
        <f>'6 - P&amp;L Program Detail'!K43</f>
        <v>2861.661656340355</v>
      </c>
    </row>
    <row r="42" spans="1:2" s="10" customFormat="1" ht="18" customHeight="1">
      <c r="A42" s="96" t="s">
        <v>1083</v>
      </c>
      <c r="B42" s="512">
        <f>'6 - P&amp;L Program Detail'!K44</f>
        <v>4866.6506993013991</v>
      </c>
    </row>
    <row r="43" spans="1:2" s="10" customFormat="1" ht="18" customHeight="1">
      <c r="A43" s="96" t="s">
        <v>1084</v>
      </c>
      <c r="B43" s="512">
        <f>'6 - P&amp;L Program Detail'!K45</f>
        <v>0</v>
      </c>
    </row>
    <row r="44" spans="1:2" s="10" customFormat="1" ht="18" customHeight="1">
      <c r="A44" s="96" t="s">
        <v>1085</v>
      </c>
      <c r="B44" s="512">
        <f>'6 - P&amp;L Program Detail'!K46</f>
        <v>0</v>
      </c>
    </row>
    <row r="45" spans="1:2" s="10" customFormat="1" ht="18" customHeight="1">
      <c r="A45" s="515" t="s">
        <v>278</v>
      </c>
      <c r="B45" s="516">
        <f>SUM(B13:B44)</f>
        <v>340566.15307637473</v>
      </c>
    </row>
    <row r="46" spans="1:2" ht="15">
      <c r="A46" s="97"/>
      <c r="B46" s="512"/>
    </row>
    <row r="47" spans="1:2" s="380" customFormat="1" ht="15">
      <c r="A47" s="96"/>
      <c r="B47" s="517"/>
    </row>
    <row r="48" spans="1:2" s="381" customFormat="1" ht="15">
      <c r="A48" s="114" t="s">
        <v>388</v>
      </c>
      <c r="B48" s="512">
        <f>B10-B45</f>
        <v>-48290.334023560921</v>
      </c>
    </row>
    <row r="49" spans="1:2" ht="15">
      <c r="A49" s="173"/>
    </row>
    <row r="50" spans="1:2" s="326" customFormat="1" ht="15">
      <c r="A50" s="173"/>
      <c r="B50" s="382"/>
    </row>
    <row r="51" spans="1:2" ht="15">
      <c r="A51" s="173"/>
    </row>
    <row r="52" spans="1:2" ht="15">
      <c r="A52" s="173"/>
    </row>
    <row r="53" spans="1:2" ht="15"/>
    <row r="54" spans="1:2" ht="15"/>
  </sheetData>
  <phoneticPr fontId="51" type="noConversion"/>
  <printOptions gridLines="1"/>
  <pageMargins left="0.7" right="0.7" top="0.75" bottom="0.75" header="0.3" footer="0.3"/>
  <pageSetup scale="80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U55"/>
  <sheetViews>
    <sheetView zoomScale="150" zoomScaleNormal="150" zoomScaleSheetLayoutView="100" zoomScalePageLayoutView="150" workbookViewId="0">
      <pane xSplit="1" ySplit="1" topLeftCell="B40" activePane="bottomRight" state="frozen"/>
      <selection pane="topRight" activeCell="C1" sqref="C1"/>
      <selection pane="bottomLeft" activeCell="A2" sqref="A2"/>
      <selection pane="bottomRight" activeCell="F8" sqref="F8"/>
    </sheetView>
  </sheetViews>
  <sheetFormatPr baseColWidth="10" defaultColWidth="11" defaultRowHeight="12.75" customHeight="1" x14ac:dyDescent="0"/>
  <cols>
    <col min="1" max="1" width="56.6640625" style="12" customWidth="1"/>
    <col min="2" max="3" width="14.83203125" style="389" customWidth="1"/>
    <col min="4" max="4" width="13.6640625" style="389" bestFit="1" customWidth="1"/>
    <col min="5" max="6" width="16.83203125" style="389" customWidth="1"/>
    <col min="7" max="7" width="12.6640625" style="389" customWidth="1"/>
    <col min="8" max="8" width="12.1640625" style="392" bestFit="1" customWidth="1"/>
    <col min="9" max="9" width="15.33203125" style="389" bestFit="1" customWidth="1"/>
    <col min="10" max="10" width="11.6640625" style="389" customWidth="1"/>
    <col min="11" max="11" width="15.83203125" style="405" bestFit="1" customWidth="1"/>
    <col min="12" max="12" width="11.6640625" style="43" customWidth="1"/>
    <col min="13" max="255" width="11" style="10" customWidth="1"/>
    <col min="256" max="16384" width="11" style="93"/>
  </cols>
  <sheetData>
    <row r="1" spans="1:255" s="85" customFormat="1" ht="33">
      <c r="A1" s="7" t="s">
        <v>1067</v>
      </c>
      <c r="B1" s="384" t="s">
        <v>118</v>
      </c>
      <c r="C1" s="384" t="s">
        <v>119</v>
      </c>
      <c r="D1" s="384" t="s">
        <v>1071</v>
      </c>
      <c r="E1" s="384" t="s">
        <v>120</v>
      </c>
      <c r="F1" s="384" t="s">
        <v>1072</v>
      </c>
      <c r="G1" s="520" t="s">
        <v>1073</v>
      </c>
      <c r="H1" s="521" t="s">
        <v>122</v>
      </c>
      <c r="I1" s="520" t="s">
        <v>123</v>
      </c>
      <c r="J1" s="520" t="s">
        <v>124</v>
      </c>
      <c r="K1" s="385" t="s">
        <v>333</v>
      </c>
      <c r="L1" s="107"/>
    </row>
    <row r="2" spans="1:255" s="109" customFormat="1" ht="12">
      <c r="A2" s="378" t="s">
        <v>334</v>
      </c>
      <c r="B2" s="386"/>
      <c r="C2" s="386"/>
      <c r="D2" s="386"/>
      <c r="E2" s="386"/>
      <c r="F2" s="386"/>
      <c r="G2" s="386"/>
      <c r="H2" s="387"/>
      <c r="I2" s="386"/>
      <c r="J2" s="386"/>
      <c r="K2" s="388"/>
      <c r="L2" s="108"/>
    </row>
    <row r="3" spans="1:255" ht="14">
      <c r="A3" s="4" t="s">
        <v>42</v>
      </c>
      <c r="B3" s="389">
        <f>SUMIFS('7 - Detailed Revenue'!$E:$E,'7 - Detailed Revenue'!$G:$G,'6 - P&amp;L Program Detail'!$A3,'7 - Detailed Revenue'!$H:$H,'6 - P&amp;L Program Detail'!B$1)</f>
        <v>0</v>
      </c>
      <c r="C3" s="389">
        <f>SUMIFS('7 - Detailed Revenue'!$E:$E,'7 - Detailed Revenue'!$G:$G,'6 - P&amp;L Program Detail'!$A3,'7 - Detailed Revenue'!$H:$H,'6 - P&amp;L Program Detail'!C$1)</f>
        <v>0</v>
      </c>
      <c r="D3" s="389">
        <f>SUMIFS('7 - Detailed Revenue'!$E:$E,'7 - Detailed Revenue'!$G:$G,'6 - P&amp;L Program Detail'!$A3,'7 - Detailed Revenue'!$H:$H,'6 - P&amp;L Program Detail'!D$1)</f>
        <v>0</v>
      </c>
      <c r="E3" s="389">
        <f>SUMIFS('7 - Detailed Revenue'!$E:$E,'7 - Detailed Revenue'!$G:$G,'6 - P&amp;L Program Detail'!$A3,'7 - Detailed Revenue'!$H:$H,"no restriction")</f>
        <v>0</v>
      </c>
      <c r="F3" s="389">
        <f>SUMIFS('7 - Detailed Revenue'!$E:$E,'7 - Detailed Revenue'!$G:$G,'6 - P&amp;L Program Detail'!$A3,'7 - Detailed Revenue'!$H:$H,'6 - P&amp;L Program Detail'!F$1)</f>
        <v>0</v>
      </c>
      <c r="G3" s="389">
        <f>SUMIFS('7 - Detailed Revenue'!$E:$E,'7 - Detailed Revenue'!$G:$G,'6 - P&amp;L Program Detail'!$A3,'7 - Detailed Revenue'!$H:$H,'6 - P&amp;L Program Detail'!G$1)</f>
        <v>0</v>
      </c>
      <c r="H3" s="389">
        <f>SUMIFS('7 - Detailed Revenue'!$E:$E,'7 - Detailed Revenue'!$G:$G,'6 - P&amp;L Program Detail'!$A3,'7 - Detailed Revenue'!$H:$H,'6 - P&amp;L Program Detail'!H$1)</f>
        <v>0</v>
      </c>
      <c r="I3" s="389">
        <f>SUMIFS('7 - Detailed Revenue'!$E:$E,'7 - Detailed Revenue'!$G:$G,'6 - P&amp;L Program Detail'!$A3,'7 - Detailed Revenue'!$H:$H,'6 - P&amp;L Program Detail'!I$1)</f>
        <v>0</v>
      </c>
      <c r="J3" s="389">
        <f>SUMIFS('7 - Detailed Revenue'!$E:$E,'7 - Detailed Revenue'!$G:$G,'6 - P&amp;L Program Detail'!$A3,'7 - Detailed Revenue'!$H:$H,'6 - P&amp;L Program Detail'!J$1)</f>
        <v>0</v>
      </c>
      <c r="K3" s="391">
        <f>SUM(B3:J3)</f>
        <v>0</v>
      </c>
      <c r="L3" s="42">
        <f t="shared" ref="L3:L9" si="0">K3/$K$11</f>
        <v>0</v>
      </c>
    </row>
    <row r="4" spans="1:255" ht="14">
      <c r="A4" s="4" t="s">
        <v>43</v>
      </c>
      <c r="B4" s="389">
        <f>SUMIFS('7 - Detailed Revenue'!$E:$E,'7 - Detailed Revenue'!$G:$G,'6 - P&amp;L Program Detail'!$A4,'7 - Detailed Revenue'!$H:$H,'6 - P&amp;L Program Detail'!B$1)</f>
        <v>0</v>
      </c>
      <c r="C4" s="389">
        <f>SUMIFS('7 - Detailed Revenue'!$E:$E,'7 - Detailed Revenue'!$G:$G,'6 - P&amp;L Program Detail'!$A4,'7 - Detailed Revenue'!$H:$H,'6 - P&amp;L Program Detail'!C$1)</f>
        <v>0</v>
      </c>
      <c r="D4" s="389">
        <f>SUMIFS('7 - Detailed Revenue'!$E:$E,'7 - Detailed Revenue'!$G:$G,'6 - P&amp;L Program Detail'!$A4,'7 - Detailed Revenue'!$H:$H,'6 - P&amp;L Program Detail'!D$1)</f>
        <v>0</v>
      </c>
      <c r="E4" s="389">
        <f>SUMIFS('7 - Detailed Revenue'!$E:$E,'7 - Detailed Revenue'!$G:$G,'6 - P&amp;L Program Detail'!$A4,'7 - Detailed Revenue'!$H:$H,"no restriction")</f>
        <v>0</v>
      </c>
      <c r="F4" s="389">
        <f>SUMIFS('7 - Detailed Revenue'!$E:$E,'7 - Detailed Revenue'!$G:$G,'6 - P&amp;L Program Detail'!$A4,'7 - Detailed Revenue'!$H:$H,'6 - P&amp;L Program Detail'!F$1)</f>
        <v>0</v>
      </c>
      <c r="G4" s="389">
        <f>SUMIFS('7 - Detailed Revenue'!$E:$E,'7 - Detailed Revenue'!$G:$G,'6 - P&amp;L Program Detail'!$A4,'7 - Detailed Revenue'!$H:$H,'6 - P&amp;L Program Detail'!G$1)</f>
        <v>0</v>
      </c>
      <c r="H4" s="389">
        <f>SUMIFS('7 - Detailed Revenue'!$E:$E,'7 - Detailed Revenue'!$G:$G,'6 - P&amp;L Program Detail'!$A4,'7 - Detailed Revenue'!$H:$H,'6 - P&amp;L Program Detail'!H$1)</f>
        <v>0</v>
      </c>
      <c r="I4" s="389">
        <f>SUMIFS('7 - Detailed Revenue'!$E:$E,'7 - Detailed Revenue'!$G:$G,'6 - P&amp;L Program Detail'!$A4,'7 - Detailed Revenue'!$H:$H,'6 - P&amp;L Program Detail'!I$1)</f>
        <v>0</v>
      </c>
      <c r="J4" s="389">
        <f>SUMIFS('7 - Detailed Revenue'!$E:$E,'7 - Detailed Revenue'!$G:$G,'6 - P&amp;L Program Detail'!$A4,'7 - Detailed Revenue'!$H:$H,'6 - P&amp;L Program Detail'!J$1)</f>
        <v>0</v>
      </c>
      <c r="K4" s="391">
        <f t="shared" ref="K4:K9" si="1">SUM(B4:J4)</f>
        <v>0</v>
      </c>
      <c r="L4" s="42">
        <f t="shared" si="0"/>
        <v>0</v>
      </c>
    </row>
    <row r="5" spans="1:255" ht="14">
      <c r="A5" s="4" t="s">
        <v>44</v>
      </c>
      <c r="B5" s="389">
        <f>SUMIFS('7 - Detailed Revenue'!$E:$E,'7 - Detailed Revenue'!$G:$G,'6 - P&amp;L Program Detail'!$A5,'7 - Detailed Revenue'!$H:$H,'6 - P&amp;L Program Detail'!B$1)</f>
        <v>0</v>
      </c>
      <c r="C5" s="389">
        <f>SUMIFS('7 - Detailed Revenue'!$E:$E,'7 - Detailed Revenue'!$G:$G,'6 - P&amp;L Program Detail'!$A5,'7 - Detailed Revenue'!$H:$H,'6 - P&amp;L Program Detail'!C$1)</f>
        <v>0</v>
      </c>
      <c r="D5" s="389">
        <f>SUMIFS('7 - Detailed Revenue'!$E:$E,'7 - Detailed Revenue'!$G:$G,'6 - P&amp;L Program Detail'!$A5,'7 - Detailed Revenue'!$H:$H,'6 - P&amp;L Program Detail'!D$1)</f>
        <v>0</v>
      </c>
      <c r="E5" s="389">
        <f>SUMIFS('7 - Detailed Revenue'!$E:$E,'7 - Detailed Revenue'!$G:$G,'6 - P&amp;L Program Detail'!$A5,'7 - Detailed Revenue'!$H:$H,"no restriction")</f>
        <v>0</v>
      </c>
      <c r="F5" s="389">
        <f>SUMIFS('7 - Detailed Revenue'!$E:$E,'7 - Detailed Revenue'!$G:$G,'6 - P&amp;L Program Detail'!$A5,'7 - Detailed Revenue'!$H:$H,'6 - P&amp;L Program Detail'!F$1)</f>
        <v>0</v>
      </c>
      <c r="G5" s="389">
        <f>SUMIFS('7 - Detailed Revenue'!$E:$E,'7 - Detailed Revenue'!$G:$G,'6 - P&amp;L Program Detail'!$A5,'7 - Detailed Revenue'!$H:$H,'6 - P&amp;L Program Detail'!G$1)</f>
        <v>0</v>
      </c>
      <c r="H5" s="389">
        <f>SUMIFS('7 - Detailed Revenue'!$E:$E,'7 - Detailed Revenue'!$G:$G,'6 - P&amp;L Program Detail'!$A5,'7 - Detailed Revenue'!$H:$H,'6 - P&amp;L Program Detail'!H$1)</f>
        <v>0</v>
      </c>
      <c r="I5" s="389">
        <f>SUMIFS('7 - Detailed Revenue'!$E:$E,'7 - Detailed Revenue'!$G:$G,'6 - P&amp;L Program Detail'!$A5,'7 - Detailed Revenue'!$H:$H,'6 - P&amp;L Program Detail'!I$1)</f>
        <v>0</v>
      </c>
      <c r="J5" s="389">
        <f>SUMIFS('7 - Detailed Revenue'!$E:$E,'7 - Detailed Revenue'!$G:$G,'6 - P&amp;L Program Detail'!$A5,'7 - Detailed Revenue'!$H:$H,'6 - P&amp;L Program Detail'!J$1)</f>
        <v>0</v>
      </c>
      <c r="K5" s="391">
        <f t="shared" si="1"/>
        <v>0</v>
      </c>
      <c r="L5" s="42">
        <f t="shared" si="0"/>
        <v>0</v>
      </c>
    </row>
    <row r="6" spans="1:255" ht="14">
      <c r="A6" s="4" t="s">
        <v>45</v>
      </c>
      <c r="B6" s="389">
        <f>SUMIFS('7 - Detailed Revenue'!$E:$E,'7 - Detailed Revenue'!$G:$G,'6 - P&amp;L Program Detail'!$A6,'7 - Detailed Revenue'!$H:$H,'6 - P&amp;L Program Detail'!B$1)</f>
        <v>0</v>
      </c>
      <c r="C6" s="389">
        <f>SUMIFS('7 - Detailed Revenue'!$E:$E,'7 - Detailed Revenue'!$G:$G,'6 - P&amp;L Program Detail'!$A6,'7 - Detailed Revenue'!$H:$H,'6 - P&amp;L Program Detail'!C$1)</f>
        <v>0</v>
      </c>
      <c r="D6" s="389">
        <f>SUMIFS('7 - Detailed Revenue'!$E:$E,'7 - Detailed Revenue'!$G:$G,'6 - P&amp;L Program Detail'!$A6,'7 - Detailed Revenue'!$H:$H,'6 - P&amp;L Program Detail'!D$1)</f>
        <v>0</v>
      </c>
      <c r="E6" s="389">
        <f>SUMIFS('7 - Detailed Revenue'!$E:$E,'7 - Detailed Revenue'!$G:$G,'6 - P&amp;L Program Detail'!$A6,'7 - Detailed Revenue'!$H:$H,"no restriction")</f>
        <v>0</v>
      </c>
      <c r="F6" s="389">
        <f>SUMIFS('7 - Detailed Revenue'!$E:$E,'7 - Detailed Revenue'!$G:$G,'6 - P&amp;L Program Detail'!$A6,'7 - Detailed Revenue'!$H:$H,'6 - P&amp;L Program Detail'!F$1)</f>
        <v>0</v>
      </c>
      <c r="G6" s="389">
        <f>SUMIFS('7 - Detailed Revenue'!$E:$E,'7 - Detailed Revenue'!$G:$G,'6 - P&amp;L Program Detail'!$A6,'7 - Detailed Revenue'!$H:$H,'6 - P&amp;L Program Detail'!G$1)</f>
        <v>0</v>
      </c>
      <c r="H6" s="389">
        <f>SUMIFS('7 - Detailed Revenue'!$E:$E,'7 - Detailed Revenue'!$G:$G,'6 - P&amp;L Program Detail'!$A6,'7 - Detailed Revenue'!$H:$H,'6 - P&amp;L Program Detail'!H$1)</f>
        <v>0</v>
      </c>
      <c r="I6" s="389">
        <f>SUMIFS('7 - Detailed Revenue'!$E:$E,'7 - Detailed Revenue'!$G:$G,'6 - P&amp;L Program Detail'!$A6,'7 - Detailed Revenue'!$H:$H,'6 - P&amp;L Program Detail'!I$1)</f>
        <v>0</v>
      </c>
      <c r="J6" s="389">
        <f>SUMIFS('7 - Detailed Revenue'!$E:$E,'7 - Detailed Revenue'!$G:$G,'6 - P&amp;L Program Detail'!$A6,'7 - Detailed Revenue'!$H:$H,'6 - P&amp;L Program Detail'!J$1)</f>
        <v>0</v>
      </c>
      <c r="K6" s="391">
        <f t="shared" si="1"/>
        <v>0</v>
      </c>
      <c r="L6" s="42">
        <f t="shared" si="0"/>
        <v>0</v>
      </c>
    </row>
    <row r="7" spans="1:255" ht="14">
      <c r="A7" s="4" t="s">
        <v>46</v>
      </c>
      <c r="B7" s="389">
        <f>SUMIFS('7 - Detailed Revenue'!$E:$E,'7 - Detailed Revenue'!$G:$G,'6 - P&amp;L Program Detail'!$A7,'7 - Detailed Revenue'!$H:$H,'6 - P&amp;L Program Detail'!B$1)</f>
        <v>99999</v>
      </c>
      <c r="C7" s="389">
        <f>SUMIFS('7 - Detailed Revenue'!$E:$E,'7 - Detailed Revenue'!$G:$G,'6 - P&amp;L Program Detail'!$A7,'7 - Detailed Revenue'!$H:$H,'6 - P&amp;L Program Detail'!C$1)</f>
        <v>0</v>
      </c>
      <c r="D7" s="389">
        <f>SUMIFS('7 - Detailed Revenue'!$E:$E,'7 - Detailed Revenue'!$G:$G,'6 - P&amp;L Program Detail'!$A7,'7 - Detailed Revenue'!$H:$H,'6 - P&amp;L Program Detail'!D$1)</f>
        <v>166000</v>
      </c>
      <c r="E7" s="389">
        <f>SUMIFS('7 - Detailed Revenue'!$E:$E,'7 - Detailed Revenue'!$G:$G,'6 - P&amp;L Program Detail'!$A7,'7 - Detailed Revenue'!$H:$H,"no restriction")</f>
        <v>26089.987609146039</v>
      </c>
      <c r="F7" s="389">
        <f>SUMIFS('7 - Detailed Revenue'!$E:$E,'7 - Detailed Revenue'!$G:$G,'6 - P&amp;L Program Detail'!$A7,'7 - Detailed Revenue'!$H:$H,'6 - P&amp;L Program Detail'!F$1)</f>
        <v>0</v>
      </c>
      <c r="G7" s="389">
        <f>SUMIFS('7 - Detailed Revenue'!$E:$E,'7 - Detailed Revenue'!$G:$G,'6 - P&amp;L Program Detail'!$A7,'7 - Detailed Revenue'!$H:$H,'6 - P&amp;L Program Detail'!G$1)</f>
        <v>0</v>
      </c>
      <c r="H7" s="389">
        <f>SUMIFS('7 - Detailed Revenue'!$E:$E,'7 - Detailed Revenue'!$G:$G,'6 - P&amp;L Program Detail'!$A7,'7 - Detailed Revenue'!$H:$H,'6 - P&amp;L Program Detail'!H$1)</f>
        <v>0</v>
      </c>
      <c r="I7" s="389">
        <f>SUMIFS('7 - Detailed Revenue'!$E:$E,'7 - Detailed Revenue'!$G:$G,'6 - P&amp;L Program Detail'!$A7,'7 - Detailed Revenue'!$H:$H,'6 - P&amp;L Program Detail'!I$1)</f>
        <v>0</v>
      </c>
      <c r="J7" s="389">
        <f>SUMIFS('7 - Detailed Revenue'!$E:$E,'7 - Detailed Revenue'!$G:$G,'6 - P&amp;L Program Detail'!$A7,'7 - Detailed Revenue'!$H:$H,'6 - P&amp;L Program Detail'!J$1)</f>
        <v>0</v>
      </c>
      <c r="K7" s="391">
        <f t="shared" si="1"/>
        <v>292088.98760914605</v>
      </c>
      <c r="L7" s="42">
        <f t="shared" si="0"/>
        <v>0.99936077009629731</v>
      </c>
    </row>
    <row r="8" spans="1:255" ht="14">
      <c r="A8" s="4" t="s">
        <v>47</v>
      </c>
      <c r="B8" s="389">
        <f>SUMIFS('7 - Detailed Revenue'!$E:$E,'7 - Detailed Revenue'!$G:$G,'6 - P&amp;L Program Detail'!$A8,'7 - Detailed Revenue'!$H:$H,'6 - P&amp;L Program Detail'!B$1)</f>
        <v>0</v>
      </c>
      <c r="C8" s="389">
        <f>SUMIFS('7 - Detailed Revenue'!$E:$E,'7 - Detailed Revenue'!$G:$G,'6 - P&amp;L Program Detail'!$A8,'7 - Detailed Revenue'!$H:$H,'6 - P&amp;L Program Detail'!C$1)</f>
        <v>0</v>
      </c>
      <c r="D8" s="389">
        <f>SUMIFS('7 - Detailed Revenue'!$E:$E,'7 - Detailed Revenue'!$G:$G,'6 - P&amp;L Program Detail'!$A8,'7 - Detailed Revenue'!$H:$H,'6 - P&amp;L Program Detail'!D$1)</f>
        <v>0</v>
      </c>
      <c r="E8" s="389">
        <f>SUMIFS('7 - Detailed Revenue'!$E:$E,'7 - Detailed Revenue'!$G:$G,'6 - P&amp;L Program Detail'!$A8,'7 - Detailed Revenue'!$H:$H,"no restriction")</f>
        <v>0</v>
      </c>
      <c r="F8" s="389">
        <f>SUMIFS('7 - Detailed Revenue'!$E:$E,'7 - Detailed Revenue'!$G:$G,'6 - P&amp;L Program Detail'!$A8,'7 - Detailed Revenue'!$H:$H,'6 - P&amp;L Program Detail'!F$1)</f>
        <v>0</v>
      </c>
      <c r="G8" s="389">
        <f>SUMIFS('7 - Detailed Revenue'!$E:$E,'7 - Detailed Revenue'!$G:$G,'6 - P&amp;L Program Detail'!$A8,'7 - Detailed Revenue'!$H:$H,'6 - P&amp;L Program Detail'!G$1)</f>
        <v>0</v>
      </c>
      <c r="H8" s="389">
        <f>SUMIFS('7 - Detailed Revenue'!$E:$E,'7 - Detailed Revenue'!$G:$G,'6 - P&amp;L Program Detail'!$A8,'7 - Detailed Revenue'!$H:$H,'6 - P&amp;L Program Detail'!H$1)</f>
        <v>0</v>
      </c>
      <c r="I8" s="389">
        <f>SUMIFS('7 - Detailed Revenue'!$E:$E,'7 - Detailed Revenue'!$G:$G,'6 - P&amp;L Program Detail'!$A8,'7 - Detailed Revenue'!$H:$H,'6 - P&amp;L Program Detail'!I$1)</f>
        <v>0</v>
      </c>
      <c r="J8" s="389">
        <f>SUMIFS('7 - Detailed Revenue'!$E:$E,'7 - Detailed Revenue'!$G:$G,'6 - P&amp;L Program Detail'!$A8,'7 - Detailed Revenue'!$H:$H,'6 - P&amp;L Program Detail'!J$1)</f>
        <v>0</v>
      </c>
      <c r="K8" s="391">
        <f t="shared" si="1"/>
        <v>0</v>
      </c>
      <c r="L8" s="42">
        <f t="shared" si="0"/>
        <v>0</v>
      </c>
    </row>
    <row r="9" spans="1:255" ht="14">
      <c r="A9" s="4" t="s">
        <v>48</v>
      </c>
      <c r="B9" s="389">
        <f>SUMIFS('7 - Detailed Revenue'!$E:$E,'7 - Detailed Revenue'!$G:$G,'6 - P&amp;L Program Detail'!$A9,'7 - Detailed Revenue'!$H:$H,'6 - P&amp;L Program Detail'!B$1)</f>
        <v>0</v>
      </c>
      <c r="C9" s="389">
        <f>SUMIFS('7 - Detailed Revenue'!$E:$E,'7 - Detailed Revenue'!$G:$G,'6 - P&amp;L Program Detail'!$A9,'7 - Detailed Revenue'!$H:$H,'6 - P&amp;L Program Detail'!C$1)</f>
        <v>0</v>
      </c>
      <c r="D9" s="389">
        <f>SUMIFS('7 - Detailed Revenue'!$E:$E,'7 - Detailed Revenue'!$G:$G,'6 - P&amp;L Program Detail'!$A9,'7 - Detailed Revenue'!$H:$H,'6 - P&amp;L Program Detail'!D$1)</f>
        <v>0</v>
      </c>
      <c r="E9" s="389">
        <f>SUMIFS('7 - Detailed Revenue'!$E:$E,'7 - Detailed Revenue'!$G:$G,'6 - P&amp;L Program Detail'!$A9,'7 - Detailed Revenue'!$H:$H,"no restriction")</f>
        <v>186.83144366773601</v>
      </c>
      <c r="F9" s="389">
        <f>SUMIFS('7 - Detailed Revenue'!$E:$E,'7 - Detailed Revenue'!$G:$G,'6 - P&amp;L Program Detail'!$A9,'7 - Detailed Revenue'!$H:$H,'6 - P&amp;L Program Detail'!F$1)</f>
        <v>0</v>
      </c>
      <c r="G9" s="389">
        <f>SUMIFS('7 - Detailed Revenue'!$E:$E,'7 - Detailed Revenue'!$G:$G,'6 - P&amp;L Program Detail'!$A9,'7 - Detailed Revenue'!$H:$H,'6 - P&amp;L Program Detail'!G$1)</f>
        <v>0</v>
      </c>
      <c r="H9" s="389">
        <f>SUMIFS('7 - Detailed Revenue'!$E:$E,'7 - Detailed Revenue'!$G:$G,'6 - P&amp;L Program Detail'!$A9,'7 - Detailed Revenue'!$H:$H,'6 - P&amp;L Program Detail'!H$1)</f>
        <v>0</v>
      </c>
      <c r="I9" s="389">
        <f>SUMIFS('7 - Detailed Revenue'!$E:$E,'7 - Detailed Revenue'!$G:$G,'6 - P&amp;L Program Detail'!$A9,'7 - Detailed Revenue'!$H:$H,'6 - P&amp;L Program Detail'!I$1)</f>
        <v>0</v>
      </c>
      <c r="J9" s="389">
        <f>SUMIFS('7 - Detailed Revenue'!$E:$E,'7 - Detailed Revenue'!$G:$G,'6 - P&amp;L Program Detail'!$A9,'7 - Detailed Revenue'!$H:$H,'6 - P&amp;L Program Detail'!J$1)</f>
        <v>0</v>
      </c>
      <c r="K9" s="391">
        <f t="shared" si="1"/>
        <v>186.83144366773601</v>
      </c>
      <c r="L9" s="42">
        <f t="shared" si="0"/>
        <v>6.3922990370262494E-4</v>
      </c>
    </row>
    <row r="10" spans="1:255" ht="14">
      <c r="A10" s="5"/>
      <c r="B10" s="390"/>
      <c r="C10" s="390"/>
      <c r="D10" s="390"/>
      <c r="E10" s="390"/>
      <c r="F10" s="390"/>
      <c r="G10" s="390"/>
      <c r="H10" s="394"/>
      <c r="I10" s="390"/>
      <c r="J10" s="390"/>
      <c r="K10" s="395"/>
      <c r="L10" s="42"/>
    </row>
    <row r="11" spans="1:255" s="85" customFormat="1" ht="12">
      <c r="A11" s="110" t="s">
        <v>447</v>
      </c>
      <c r="B11" s="396">
        <f>SUM(B5:B9)</f>
        <v>99999</v>
      </c>
      <c r="C11" s="396"/>
      <c r="D11" s="396">
        <f>SUM(D4:D9)</f>
        <v>166000</v>
      </c>
      <c r="E11" s="396">
        <f>E7</f>
        <v>26089.987609146039</v>
      </c>
      <c r="F11" s="396"/>
      <c r="G11" s="396">
        <f>SUM(G4:G9)</f>
        <v>0</v>
      </c>
      <c r="H11" s="396">
        <f>SUM(H4:H9)</f>
        <v>0</v>
      </c>
      <c r="I11" s="396">
        <f>SUM(I4:I9)</f>
        <v>0</v>
      </c>
      <c r="J11" s="396"/>
      <c r="K11" s="397">
        <f>SUM(K3:K10)</f>
        <v>292275.81905281381</v>
      </c>
      <c r="L11" s="107">
        <f>K11/$K$11</f>
        <v>1</v>
      </c>
    </row>
    <row r="12" spans="1:255" s="421" customFormat="1" ht="14">
      <c r="A12" s="418"/>
      <c r="B12" s="406">
        <f>B11/$K$11</f>
        <v>0.34213914898628794</v>
      </c>
      <c r="C12" s="406"/>
      <c r="D12" s="406">
        <f>D11/$K$11</f>
        <v>0.56795666688390678</v>
      </c>
      <c r="E12" s="406">
        <f>E11/$K$11</f>
        <v>8.9264954226102491E-2</v>
      </c>
      <c r="F12" s="406"/>
      <c r="G12" s="406">
        <f>G11/$K$11</f>
        <v>0</v>
      </c>
      <c r="H12" s="406">
        <f>H11/$K$11</f>
        <v>0</v>
      </c>
      <c r="I12" s="406">
        <f>I11/$K$11</f>
        <v>0</v>
      </c>
      <c r="J12" s="406"/>
      <c r="K12" s="406">
        <f>K11/$K$11</f>
        <v>1</v>
      </c>
      <c r="L12" s="419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  <c r="AF12" s="420"/>
      <c r="AG12" s="420"/>
      <c r="AH12" s="420"/>
      <c r="AI12" s="420"/>
      <c r="AJ12" s="420"/>
      <c r="AK12" s="420"/>
      <c r="AL12" s="420"/>
      <c r="AM12" s="420"/>
      <c r="AN12" s="420"/>
      <c r="AO12" s="420"/>
      <c r="AP12" s="420"/>
      <c r="AQ12" s="420"/>
      <c r="AR12" s="420"/>
      <c r="AS12" s="420"/>
      <c r="AT12" s="420"/>
      <c r="AU12" s="420"/>
      <c r="AV12" s="420"/>
      <c r="AW12" s="420"/>
      <c r="AX12" s="420"/>
      <c r="AY12" s="420"/>
      <c r="AZ12" s="420"/>
      <c r="BA12" s="420"/>
      <c r="BB12" s="420"/>
      <c r="BC12" s="420"/>
      <c r="BD12" s="420"/>
      <c r="BE12" s="420"/>
      <c r="BF12" s="420"/>
      <c r="BG12" s="420"/>
      <c r="BH12" s="420"/>
      <c r="BI12" s="420"/>
      <c r="BJ12" s="420"/>
      <c r="BK12" s="420"/>
      <c r="BL12" s="420"/>
      <c r="BM12" s="420"/>
      <c r="BN12" s="420"/>
      <c r="BO12" s="420"/>
      <c r="BP12" s="420"/>
      <c r="BQ12" s="420"/>
      <c r="BR12" s="420"/>
      <c r="BS12" s="420"/>
      <c r="BT12" s="420"/>
      <c r="BU12" s="420"/>
      <c r="BV12" s="420"/>
      <c r="BW12" s="420"/>
      <c r="BX12" s="420"/>
      <c r="BY12" s="420"/>
      <c r="BZ12" s="420"/>
      <c r="CA12" s="420"/>
      <c r="CB12" s="420"/>
      <c r="CC12" s="420"/>
      <c r="CD12" s="420"/>
      <c r="CE12" s="420"/>
      <c r="CF12" s="420"/>
      <c r="CG12" s="420"/>
      <c r="CH12" s="420"/>
      <c r="CI12" s="420"/>
      <c r="CJ12" s="420"/>
      <c r="CK12" s="420"/>
      <c r="CL12" s="420"/>
      <c r="CM12" s="420"/>
      <c r="CN12" s="420"/>
      <c r="CO12" s="420"/>
      <c r="CP12" s="420"/>
      <c r="CQ12" s="420"/>
      <c r="CR12" s="420"/>
      <c r="CS12" s="420"/>
      <c r="CT12" s="420"/>
      <c r="CU12" s="420"/>
      <c r="CV12" s="420"/>
      <c r="CW12" s="420"/>
      <c r="CX12" s="420"/>
      <c r="CY12" s="420"/>
      <c r="CZ12" s="420"/>
      <c r="DA12" s="420"/>
      <c r="DB12" s="420"/>
      <c r="DC12" s="420"/>
      <c r="DD12" s="420"/>
      <c r="DE12" s="420"/>
      <c r="DF12" s="420"/>
      <c r="DG12" s="420"/>
      <c r="DH12" s="420"/>
      <c r="DI12" s="420"/>
      <c r="DJ12" s="420"/>
      <c r="DK12" s="420"/>
      <c r="DL12" s="420"/>
      <c r="DM12" s="420"/>
      <c r="DN12" s="420"/>
      <c r="DO12" s="420"/>
      <c r="DP12" s="420"/>
      <c r="DQ12" s="420"/>
      <c r="DR12" s="420"/>
      <c r="DS12" s="420"/>
      <c r="DT12" s="420"/>
      <c r="DU12" s="420"/>
      <c r="DV12" s="420"/>
      <c r="DW12" s="420"/>
      <c r="DX12" s="420"/>
      <c r="DY12" s="420"/>
      <c r="DZ12" s="420"/>
      <c r="EA12" s="420"/>
      <c r="EB12" s="420"/>
      <c r="EC12" s="420"/>
      <c r="ED12" s="420"/>
      <c r="EE12" s="420"/>
      <c r="EF12" s="420"/>
      <c r="EG12" s="420"/>
      <c r="EH12" s="420"/>
      <c r="EI12" s="420"/>
      <c r="EJ12" s="420"/>
      <c r="EK12" s="420"/>
      <c r="EL12" s="420"/>
      <c r="EM12" s="420"/>
      <c r="EN12" s="420"/>
      <c r="EO12" s="420"/>
      <c r="EP12" s="420"/>
      <c r="EQ12" s="420"/>
      <c r="ER12" s="420"/>
      <c r="ES12" s="420"/>
      <c r="ET12" s="420"/>
      <c r="EU12" s="420"/>
      <c r="EV12" s="420"/>
      <c r="EW12" s="420"/>
      <c r="EX12" s="420"/>
      <c r="EY12" s="420"/>
      <c r="EZ12" s="420"/>
      <c r="FA12" s="420"/>
      <c r="FB12" s="420"/>
      <c r="FC12" s="420"/>
      <c r="FD12" s="420"/>
      <c r="FE12" s="420"/>
      <c r="FF12" s="420"/>
      <c r="FG12" s="420"/>
      <c r="FH12" s="420"/>
      <c r="FI12" s="420"/>
      <c r="FJ12" s="420"/>
      <c r="FK12" s="420"/>
      <c r="FL12" s="420"/>
      <c r="FM12" s="420"/>
      <c r="FN12" s="420"/>
      <c r="FO12" s="420"/>
      <c r="FP12" s="420"/>
      <c r="FQ12" s="420"/>
      <c r="FR12" s="420"/>
      <c r="FS12" s="420"/>
      <c r="FT12" s="420"/>
      <c r="FU12" s="420"/>
      <c r="FV12" s="420"/>
      <c r="FW12" s="420"/>
      <c r="FX12" s="420"/>
      <c r="FY12" s="420"/>
      <c r="FZ12" s="420"/>
      <c r="GA12" s="420"/>
      <c r="GB12" s="420"/>
      <c r="GC12" s="420"/>
      <c r="GD12" s="420"/>
      <c r="GE12" s="420"/>
      <c r="GF12" s="420"/>
      <c r="GG12" s="420"/>
      <c r="GH12" s="420"/>
      <c r="GI12" s="420"/>
      <c r="GJ12" s="420"/>
      <c r="GK12" s="420"/>
      <c r="GL12" s="420"/>
      <c r="GM12" s="420"/>
      <c r="GN12" s="420"/>
      <c r="GO12" s="420"/>
      <c r="GP12" s="420"/>
      <c r="GQ12" s="420"/>
      <c r="GR12" s="420"/>
      <c r="GS12" s="420"/>
      <c r="GT12" s="420"/>
      <c r="GU12" s="420"/>
      <c r="GV12" s="420"/>
      <c r="GW12" s="420"/>
      <c r="GX12" s="420"/>
      <c r="GY12" s="420"/>
      <c r="GZ12" s="420"/>
      <c r="HA12" s="420"/>
      <c r="HB12" s="420"/>
      <c r="HC12" s="420"/>
      <c r="HD12" s="420"/>
      <c r="HE12" s="420"/>
      <c r="HF12" s="420"/>
      <c r="HG12" s="420"/>
      <c r="HH12" s="420"/>
      <c r="HI12" s="420"/>
      <c r="HJ12" s="420"/>
      <c r="HK12" s="420"/>
      <c r="HL12" s="420"/>
      <c r="HM12" s="420"/>
      <c r="HN12" s="420"/>
      <c r="HO12" s="420"/>
      <c r="HP12" s="420"/>
      <c r="HQ12" s="420"/>
      <c r="HR12" s="420"/>
      <c r="HS12" s="420"/>
      <c r="HT12" s="420"/>
      <c r="HU12" s="420"/>
      <c r="HV12" s="420"/>
      <c r="HW12" s="420"/>
      <c r="HX12" s="420"/>
      <c r="HY12" s="420"/>
      <c r="HZ12" s="420"/>
      <c r="IA12" s="420"/>
      <c r="IB12" s="420"/>
      <c r="IC12" s="420"/>
      <c r="ID12" s="420"/>
      <c r="IE12" s="420"/>
      <c r="IF12" s="420"/>
      <c r="IG12" s="420"/>
      <c r="IH12" s="420"/>
      <c r="II12" s="420"/>
      <c r="IJ12" s="420"/>
      <c r="IK12" s="420"/>
      <c r="IL12" s="420"/>
      <c r="IM12" s="420"/>
      <c r="IN12" s="420"/>
      <c r="IO12" s="420"/>
      <c r="IP12" s="420"/>
      <c r="IQ12" s="420"/>
      <c r="IR12" s="420"/>
      <c r="IS12" s="420"/>
      <c r="IT12" s="420"/>
      <c r="IU12" s="420"/>
    </row>
    <row r="13" spans="1:255" ht="14">
      <c r="A13" s="6"/>
      <c r="B13" s="390"/>
      <c r="C13" s="390"/>
      <c r="D13" s="390"/>
      <c r="E13" s="390"/>
      <c r="F13" s="390"/>
      <c r="G13" s="390"/>
      <c r="H13" s="394"/>
      <c r="I13" s="390"/>
      <c r="J13" s="390"/>
      <c r="K13" s="391"/>
      <c r="L13" s="42"/>
    </row>
    <row r="14" spans="1:255" s="109" customFormat="1" ht="12">
      <c r="A14" s="378" t="s">
        <v>125</v>
      </c>
      <c r="B14" s="386"/>
      <c r="C14" s="386"/>
      <c r="D14" s="386"/>
      <c r="E14" s="386"/>
      <c r="F14" s="386"/>
      <c r="G14" s="386"/>
      <c r="H14" s="387"/>
      <c r="I14" s="386"/>
      <c r="J14" s="386"/>
      <c r="K14" s="388"/>
      <c r="L14" s="108"/>
    </row>
    <row r="15" spans="1:255" ht="14">
      <c r="A15" s="4" t="s">
        <v>1057</v>
      </c>
      <c r="B15" s="389">
        <f>SUMIFS('8 - Detailed Expenses'!$E:$E,'8 - Detailed Expenses'!$G:$G,'6 - P&amp;L Program Detail'!$A15,'8 - Detailed Expenses'!$H:$H,'6 - P&amp;L Program Detail'!B$1)</f>
        <v>0</v>
      </c>
      <c r="C15" s="389">
        <f>SUMIFS('8 - Detailed Expenses'!$E:$E,'8 - Detailed Expenses'!$G:$G,'6 - P&amp;L Program Detail'!$A15,'8 - Detailed Expenses'!$H:$H,'6 - P&amp;L Program Detail'!C$1)</f>
        <v>0</v>
      </c>
      <c r="D15" s="389">
        <f>SUMIFS('8 - Detailed Expenses'!$E:$E,'8 - Detailed Expenses'!$G:$G,'6 - P&amp;L Program Detail'!$A15,'8 - Detailed Expenses'!$H:$H,'6 - P&amp;L Program Detail'!D$1)</f>
        <v>0</v>
      </c>
      <c r="E15" s="389">
        <f>SUMIFS('8 - Detailed Expenses'!$E:$E,'8 - Detailed Expenses'!$G:$G,'6 - P&amp;L Program Detail'!$A15,'8 - Detailed Expenses'!$H:$H,'6 - P&amp;L Program Detail'!E$1)</f>
        <v>0</v>
      </c>
      <c r="F15" s="389">
        <f>SUMIFS('8 - Detailed Expenses'!$E:$E,'8 - Detailed Expenses'!$G:$G,'6 - P&amp;L Program Detail'!$A15,'8 - Detailed Expenses'!$H:$H,'6 - P&amp;L Program Detail'!F$1)</f>
        <v>0</v>
      </c>
      <c r="G15" s="389">
        <f>SUMIFS('8 - Detailed Expenses'!$E:$E,'8 - Detailed Expenses'!$G:$G,'6 - P&amp;L Program Detail'!$A15,'8 - Detailed Expenses'!$H:$H,'6 - P&amp;L Program Detail'!G$1)</f>
        <v>0</v>
      </c>
      <c r="H15" s="389">
        <f>SUMIFS('8 - Detailed Expenses'!$E:$E,'8 - Detailed Expenses'!$G:$G,'6 - P&amp;L Program Detail'!$A15,'8 - Detailed Expenses'!$H:$H,'6 - P&amp;L Program Detail'!H$1)</f>
        <v>0</v>
      </c>
      <c r="I15" s="389">
        <f>SUMIFS('8 - Detailed Expenses'!$E:$E,'8 - Detailed Expenses'!$G:$G,'6 - P&amp;L Program Detail'!$A15,'8 - Detailed Expenses'!$H:$H,'6 - P&amp;L Program Detail'!I$1)</f>
        <v>0</v>
      </c>
      <c r="J15" s="389">
        <f>SUMIFS('8 - Detailed Expenses'!$E:$E,'8 - Detailed Expenses'!$G:$G,'6 - P&amp;L Program Detail'!$A15,'8 - Detailed Expenses'!$H:$H,'6 - P&amp;L Program Detail'!J$1)</f>
        <v>0</v>
      </c>
      <c r="K15" s="391">
        <f>SUM(B15:J15)</f>
        <v>0</v>
      </c>
      <c r="L15" s="42">
        <f t="shared" ref="L15:L46" si="2">K15/$K$48</f>
        <v>0</v>
      </c>
    </row>
    <row r="16" spans="1:255" ht="14">
      <c r="A16" s="4" t="s">
        <v>1058</v>
      </c>
      <c r="B16" s="389">
        <f>SUMIFS('8 - Detailed Expenses'!$E:$E,'8 - Detailed Expenses'!$G:$G,'6 - P&amp;L Program Detail'!$A16,'8 - Detailed Expenses'!$H:$H,'6 - P&amp;L Program Detail'!B$1)</f>
        <v>0</v>
      </c>
      <c r="C16" s="389">
        <f>SUMIFS('8 - Detailed Expenses'!$E:$E,'8 - Detailed Expenses'!$G:$G,'6 - P&amp;L Program Detail'!$A16,'8 - Detailed Expenses'!$H:$H,'6 - P&amp;L Program Detail'!C$1)</f>
        <v>0</v>
      </c>
      <c r="D16" s="389">
        <f>SUMIFS('8 - Detailed Expenses'!$E:$E,'8 - Detailed Expenses'!$G:$G,'6 - P&amp;L Program Detail'!$A16,'8 - Detailed Expenses'!$H:$H,'6 - P&amp;L Program Detail'!D$1)</f>
        <v>0</v>
      </c>
      <c r="E16" s="389">
        <f>SUMIFS('8 - Detailed Expenses'!$E:$E,'8 - Detailed Expenses'!$G:$G,'6 - P&amp;L Program Detail'!$A16,'8 - Detailed Expenses'!$H:$H,'6 - P&amp;L Program Detail'!E$1)</f>
        <v>0</v>
      </c>
      <c r="F16" s="389">
        <f>SUMIFS('8 - Detailed Expenses'!$E:$E,'8 - Detailed Expenses'!$G:$G,'6 - P&amp;L Program Detail'!$A16,'8 - Detailed Expenses'!$H:$H,'6 - P&amp;L Program Detail'!F$1)</f>
        <v>0</v>
      </c>
      <c r="G16" s="389">
        <f>SUMIFS('8 - Detailed Expenses'!$E:$E,'8 - Detailed Expenses'!$G:$G,'6 - P&amp;L Program Detail'!$A16,'8 - Detailed Expenses'!$H:$H,'6 - P&amp;L Program Detail'!G$1)</f>
        <v>0</v>
      </c>
      <c r="H16" s="389">
        <f>SUMIFS('8 - Detailed Expenses'!$E:$E,'8 - Detailed Expenses'!$G:$G,'6 - P&amp;L Program Detail'!$A16,'8 - Detailed Expenses'!$H:$H,'6 - P&amp;L Program Detail'!H$1)</f>
        <v>0</v>
      </c>
      <c r="I16" s="389">
        <f>SUMIFS('8 - Detailed Expenses'!$E:$E,'8 - Detailed Expenses'!$G:$G,'6 - P&amp;L Program Detail'!$A16,'8 - Detailed Expenses'!$H:$H,'6 - P&amp;L Program Detail'!I$1)</f>
        <v>0</v>
      </c>
      <c r="J16" s="389">
        <f>SUMIFS('8 - Detailed Expenses'!$E:$E,'8 - Detailed Expenses'!$G:$G,'6 - P&amp;L Program Detail'!$A16,'8 - Detailed Expenses'!$H:$H,'6 - P&amp;L Program Detail'!J$1)</f>
        <v>0</v>
      </c>
      <c r="K16" s="391">
        <f t="shared" ref="K16:K46" si="3">SUM(B16:J16)</f>
        <v>0</v>
      </c>
      <c r="L16" s="42">
        <f t="shared" si="2"/>
        <v>0</v>
      </c>
    </row>
    <row r="17" spans="1:14" ht="14">
      <c r="A17" s="4" t="s">
        <v>1059</v>
      </c>
      <c r="B17" s="389">
        <f>SUMIFS('8 - Detailed Expenses'!$E:$E,'8 - Detailed Expenses'!$G:$G,'6 - P&amp;L Program Detail'!$A17,'8 - Detailed Expenses'!$H:$H,'6 - P&amp;L Program Detail'!B$1)</f>
        <v>0</v>
      </c>
      <c r="C17" s="389">
        <f>SUMIFS('8 - Detailed Expenses'!$E:$E,'8 - Detailed Expenses'!$G:$G,'6 - P&amp;L Program Detail'!$A17,'8 - Detailed Expenses'!$H:$H,'6 - P&amp;L Program Detail'!C$1)</f>
        <v>0</v>
      </c>
      <c r="D17" s="389">
        <f>SUMIFS('8 - Detailed Expenses'!$E:$E,'8 - Detailed Expenses'!$G:$G,'6 - P&amp;L Program Detail'!$A17,'8 - Detailed Expenses'!$H:$H,'6 - P&amp;L Program Detail'!D$1)</f>
        <v>0</v>
      </c>
      <c r="E17" s="389">
        <f>SUMIFS('8 - Detailed Expenses'!$E:$E,'8 - Detailed Expenses'!$G:$G,'6 - P&amp;L Program Detail'!$A17,'8 - Detailed Expenses'!$H:$H,'6 - P&amp;L Program Detail'!E$1)</f>
        <v>0</v>
      </c>
      <c r="F17" s="389">
        <f>SUMIFS('8 - Detailed Expenses'!$E:$E,'8 - Detailed Expenses'!$G:$G,'6 - P&amp;L Program Detail'!$A17,'8 - Detailed Expenses'!$H:$H,'6 - P&amp;L Program Detail'!F$1)</f>
        <v>0</v>
      </c>
      <c r="G17" s="389">
        <f>SUMIFS('8 - Detailed Expenses'!$E:$E,'8 - Detailed Expenses'!$G:$G,'6 - P&amp;L Program Detail'!$A17,'8 - Detailed Expenses'!$H:$H,'6 - P&amp;L Program Detail'!G$1)</f>
        <v>0</v>
      </c>
      <c r="H17" s="389">
        <f>SUMIFS('8 - Detailed Expenses'!$E:$E,'8 - Detailed Expenses'!$G:$G,'6 - P&amp;L Program Detail'!$A17,'8 - Detailed Expenses'!$H:$H,'6 - P&amp;L Program Detail'!H$1)</f>
        <v>0</v>
      </c>
      <c r="I17" s="389">
        <f>SUMIFS('8 - Detailed Expenses'!$E:$E,'8 - Detailed Expenses'!$G:$G,'6 - P&amp;L Program Detail'!$A17,'8 - Detailed Expenses'!$H:$H,'6 - P&amp;L Program Detail'!I$1)</f>
        <v>0</v>
      </c>
      <c r="J17" s="389">
        <f>SUMIFS('8 - Detailed Expenses'!$E:$E,'8 - Detailed Expenses'!$G:$G,'6 - P&amp;L Program Detail'!$A17,'8 - Detailed Expenses'!$H:$H,'6 - P&amp;L Program Detail'!J$1)</f>
        <v>0</v>
      </c>
      <c r="K17" s="391">
        <f t="shared" si="3"/>
        <v>0</v>
      </c>
      <c r="L17" s="42">
        <f t="shared" si="2"/>
        <v>0</v>
      </c>
    </row>
    <row r="18" spans="1:14" ht="14">
      <c r="A18" s="4" t="s">
        <v>1060</v>
      </c>
      <c r="B18" s="389">
        <f>SUMIFS('8 - Detailed Expenses'!$E:$E,'8 - Detailed Expenses'!$G:$G,'6 - P&amp;L Program Detail'!$A18,'8 - Detailed Expenses'!$H:$H,'6 - P&amp;L Program Detail'!B$1)</f>
        <v>0</v>
      </c>
      <c r="C18" s="389">
        <f>SUMIFS('8 - Detailed Expenses'!$E:$E,'8 - Detailed Expenses'!$G:$G,'6 - P&amp;L Program Detail'!$A18,'8 - Detailed Expenses'!$H:$H,'6 - P&amp;L Program Detail'!C$1)</f>
        <v>0</v>
      </c>
      <c r="D18" s="389">
        <f>SUMIFS('8 - Detailed Expenses'!$E:$E,'8 - Detailed Expenses'!$G:$G,'6 - P&amp;L Program Detail'!$A18,'8 - Detailed Expenses'!$H:$H,'6 - P&amp;L Program Detail'!D$1)</f>
        <v>0</v>
      </c>
      <c r="E18" s="389">
        <f>SUMIFS('8 - Detailed Expenses'!$E:$E,'8 - Detailed Expenses'!$G:$G,'6 - P&amp;L Program Detail'!$A18,'8 - Detailed Expenses'!$H:$H,'6 - P&amp;L Program Detail'!E$1)</f>
        <v>0</v>
      </c>
      <c r="F18" s="389">
        <f>SUMIFS('8 - Detailed Expenses'!$E:$E,'8 - Detailed Expenses'!$G:$G,'6 - P&amp;L Program Detail'!$A18,'8 - Detailed Expenses'!$H:$H,'6 - P&amp;L Program Detail'!F$1)</f>
        <v>0</v>
      </c>
      <c r="G18" s="389">
        <f>SUMIFS('8 - Detailed Expenses'!$E:$E,'8 - Detailed Expenses'!$G:$G,'6 - P&amp;L Program Detail'!$A18,'8 - Detailed Expenses'!$H:$H,'6 - P&amp;L Program Detail'!G$1)</f>
        <v>0</v>
      </c>
      <c r="H18" s="389">
        <f>SUMIFS('8 - Detailed Expenses'!$E:$E,'8 - Detailed Expenses'!$G:$G,'6 - P&amp;L Program Detail'!$A18,'8 - Detailed Expenses'!$H:$H,'6 - P&amp;L Program Detail'!H$1)</f>
        <v>0</v>
      </c>
      <c r="I18" s="389">
        <f>SUMIFS('8 - Detailed Expenses'!$E:$E,'8 - Detailed Expenses'!$G:$G,'6 - P&amp;L Program Detail'!$A18,'8 - Detailed Expenses'!$H:$H,'6 - P&amp;L Program Detail'!I$1)</f>
        <v>0</v>
      </c>
      <c r="J18" s="389">
        <f>SUMIFS('8 - Detailed Expenses'!$E:$E,'8 - Detailed Expenses'!$G:$G,'6 - P&amp;L Program Detail'!$A18,'8 - Detailed Expenses'!$H:$H,'6 - P&amp;L Program Detail'!J$1)</f>
        <v>0</v>
      </c>
      <c r="K18" s="391">
        <f t="shared" si="3"/>
        <v>0</v>
      </c>
      <c r="L18" s="42">
        <f t="shared" si="2"/>
        <v>0</v>
      </c>
    </row>
    <row r="19" spans="1:14" s="10" customFormat="1" ht="13">
      <c r="A19" s="4" t="s">
        <v>51</v>
      </c>
      <c r="B19" s="389">
        <f>SUMIFS('8 - Detailed Expenses'!$E:$E,'8 - Detailed Expenses'!$G:$G,'6 - P&amp;L Program Detail'!$A19,'8 - Detailed Expenses'!$H:$H,'6 - P&amp;L Program Detail'!B$1)</f>
        <v>11447.632237940443</v>
      </c>
      <c r="C19" s="389">
        <f>SUMIFS('8 - Detailed Expenses'!$E:$E,'8 - Detailed Expenses'!$G:$G,'6 - P&amp;L Program Detail'!$A19,'8 - Detailed Expenses'!$H:$H,'6 - P&amp;L Program Detail'!C$1)</f>
        <v>3666.489436582915</v>
      </c>
      <c r="D19" s="389">
        <f>SUMIFS('8 - Detailed Expenses'!$E:$E,'8 - Detailed Expenses'!$G:$G,'6 - P&amp;L Program Detail'!$A19,'8 - Detailed Expenses'!$H:$H,'6 - P&amp;L Program Detail'!D$1)</f>
        <v>18036.440412548713</v>
      </c>
      <c r="E19" s="389">
        <f>SUMIFS('8 - Detailed Expenses'!$E:$E,'8 - Detailed Expenses'!$G:$G,'6 - P&amp;L Program Detail'!$A19,'8 - Detailed Expenses'!$H:$H,'6 - P&amp;L Program Detail'!E$1)</f>
        <v>0</v>
      </c>
      <c r="F19" s="389">
        <f>SUMIFS('8 - Detailed Expenses'!$E:$E,'8 - Detailed Expenses'!$G:$G,'6 - P&amp;L Program Detail'!$A19,'8 - Detailed Expenses'!$H:$H,'6 - P&amp;L Program Detail'!F$1)</f>
        <v>0</v>
      </c>
      <c r="G19" s="389">
        <f>SUMIFS('8 - Detailed Expenses'!$E:$E,'8 - Detailed Expenses'!$G:$G,'6 - P&amp;L Program Detail'!$A19,'8 - Detailed Expenses'!$H:$H,'6 - P&amp;L Program Detail'!G$1)</f>
        <v>0</v>
      </c>
      <c r="H19" s="389">
        <f>SUMIFS('8 - Detailed Expenses'!$E:$E,'8 - Detailed Expenses'!$G:$G,'6 - P&amp;L Program Detail'!$A19,'8 - Detailed Expenses'!$H:$H,'6 - P&amp;L Program Detail'!H$1)</f>
        <v>0</v>
      </c>
      <c r="I19" s="389">
        <f>SUMIFS('8 - Detailed Expenses'!$E:$E,'8 - Detailed Expenses'!$G:$G,'6 - P&amp;L Program Detail'!$A19,'8 - Detailed Expenses'!$H:$H,'6 - P&amp;L Program Detail'!I$1)</f>
        <v>0</v>
      </c>
      <c r="J19" s="389">
        <f>SUMIFS('8 - Detailed Expenses'!$E:$E,'8 - Detailed Expenses'!$G:$G,'6 - P&amp;L Program Detail'!$A19,'8 - Detailed Expenses'!$H:$H,'6 - P&amp;L Program Detail'!J$1)</f>
        <v>0</v>
      </c>
      <c r="K19" s="391">
        <f t="shared" si="3"/>
        <v>33150.562087072074</v>
      </c>
      <c r="L19" s="42">
        <f t="shared" si="2"/>
        <v>9.7339567621794146E-2</v>
      </c>
      <c r="N19" s="94"/>
    </row>
    <row r="20" spans="1:14" ht="14">
      <c r="A20" s="4" t="s">
        <v>1061</v>
      </c>
      <c r="B20" s="389">
        <f>SUMIFS('8 - Detailed Expenses'!$E:$E,'8 - Detailed Expenses'!$G:$G,'6 - P&amp;L Program Detail'!$A20,'8 - Detailed Expenses'!$H:$H,'6 - P&amp;L Program Detail'!B$1)</f>
        <v>0</v>
      </c>
      <c r="C20" s="389">
        <f>SUMIFS('8 - Detailed Expenses'!$E:$E,'8 - Detailed Expenses'!$G:$G,'6 - P&amp;L Program Detail'!$A20,'8 - Detailed Expenses'!$H:$H,'6 - P&amp;L Program Detail'!C$1)</f>
        <v>0</v>
      </c>
      <c r="D20" s="389">
        <f>SUMIFS('8 - Detailed Expenses'!$E:$E,'8 - Detailed Expenses'!$G:$G,'6 - P&amp;L Program Detail'!$A20,'8 - Detailed Expenses'!$H:$H,'6 - P&amp;L Program Detail'!D$1)</f>
        <v>0</v>
      </c>
      <c r="E20" s="389">
        <f>SUMIFS('8 - Detailed Expenses'!$E:$E,'8 - Detailed Expenses'!$G:$G,'6 - P&amp;L Program Detail'!$A20,'8 - Detailed Expenses'!$H:$H,'6 - P&amp;L Program Detail'!E$1)</f>
        <v>0</v>
      </c>
      <c r="F20" s="389">
        <f>SUMIFS('8 - Detailed Expenses'!$E:$E,'8 - Detailed Expenses'!$G:$G,'6 - P&amp;L Program Detail'!$A20,'8 - Detailed Expenses'!$H:$H,'6 - P&amp;L Program Detail'!F$1)</f>
        <v>0</v>
      </c>
      <c r="G20" s="389">
        <f>SUMIFS('8 - Detailed Expenses'!$E:$E,'8 - Detailed Expenses'!$G:$G,'6 - P&amp;L Program Detail'!$A20,'8 - Detailed Expenses'!$H:$H,'6 - P&amp;L Program Detail'!G$1)</f>
        <v>0</v>
      </c>
      <c r="H20" s="389">
        <f>SUMIFS('8 - Detailed Expenses'!$E:$E,'8 - Detailed Expenses'!$G:$G,'6 - P&amp;L Program Detail'!$A20,'8 - Detailed Expenses'!$H:$H,'6 - P&amp;L Program Detail'!H$1)</f>
        <v>0</v>
      </c>
      <c r="I20" s="389">
        <f>SUMIFS('8 - Detailed Expenses'!$E:$E,'8 - Detailed Expenses'!$G:$G,'6 - P&amp;L Program Detail'!$A20,'8 - Detailed Expenses'!$H:$H,'6 - P&amp;L Program Detail'!I$1)</f>
        <v>0</v>
      </c>
      <c r="J20" s="389">
        <f>SUMIFS('8 - Detailed Expenses'!$E:$E,'8 - Detailed Expenses'!$G:$G,'6 - P&amp;L Program Detail'!$A20,'8 - Detailed Expenses'!$H:$H,'6 - P&amp;L Program Detail'!J$1)</f>
        <v>0</v>
      </c>
      <c r="K20" s="391">
        <f t="shared" si="3"/>
        <v>0</v>
      </c>
      <c r="L20" s="42">
        <f t="shared" si="2"/>
        <v>0</v>
      </c>
    </row>
    <row r="21" spans="1:14" ht="14">
      <c r="A21" s="4" t="s">
        <v>20</v>
      </c>
      <c r="B21" s="389">
        <f>SUMIFS('8 - Detailed Expenses'!$E:$E,'8 - Detailed Expenses'!$G:$G,'6 - P&amp;L Program Detail'!$A21,'8 - Detailed Expenses'!$H:$H,'6 - P&amp;L Program Detail'!B$1)</f>
        <v>643.60418342719231</v>
      </c>
      <c r="C21" s="389">
        <f>SUMIFS('8 - Detailed Expenses'!$E:$E,'8 - Detailed Expenses'!$G:$G,'6 - P&amp;L Program Detail'!$A21,'8 - Detailed Expenses'!$H:$H,'6 - P&amp;L Program Detail'!C$1)</f>
        <v>1514.5026397563977</v>
      </c>
      <c r="D21" s="389">
        <f>SUMIFS('8 - Detailed Expenses'!$E:$E,'8 - Detailed Expenses'!$G:$G,'6 - P&amp;L Program Detail'!$A21,'8 - Detailed Expenses'!$H:$H,'6 - P&amp;L Program Detail'!D$1)</f>
        <v>6887.7020285460439</v>
      </c>
      <c r="E21" s="389">
        <f>SUMIFS('8 - Detailed Expenses'!$E:$E,'8 - Detailed Expenses'!$G:$G,'6 - P&amp;L Program Detail'!$A21,'8 - Detailed Expenses'!$H:$H,'6 - P&amp;L Program Detail'!E$1)</f>
        <v>0</v>
      </c>
      <c r="F21" s="389">
        <f>SUMIFS('8 - Detailed Expenses'!$E:$E,'8 - Detailed Expenses'!$G:$G,'6 - P&amp;L Program Detail'!$A21,'8 - Detailed Expenses'!$H:$H,'6 - P&amp;L Program Detail'!F$1)</f>
        <v>0</v>
      </c>
      <c r="G21" s="389">
        <f>SUMIFS('8 - Detailed Expenses'!$E:$E,'8 - Detailed Expenses'!$G:$G,'6 - P&amp;L Program Detail'!$A21,'8 - Detailed Expenses'!$H:$H,'6 - P&amp;L Program Detail'!G$1)</f>
        <v>0</v>
      </c>
      <c r="H21" s="389">
        <f>SUMIFS('8 - Detailed Expenses'!$E:$E,'8 - Detailed Expenses'!$G:$G,'6 - P&amp;L Program Detail'!$A21,'8 - Detailed Expenses'!$H:$H,'6 - P&amp;L Program Detail'!H$1)</f>
        <v>0</v>
      </c>
      <c r="I21" s="389">
        <f>SUMIFS('8 - Detailed Expenses'!$E:$E,'8 - Detailed Expenses'!$G:$G,'6 - P&amp;L Program Detail'!$A21,'8 - Detailed Expenses'!$H:$H,'6 - P&amp;L Program Detail'!I$1)</f>
        <v>675.7843925985519</v>
      </c>
      <c r="J21" s="389">
        <f>SUMIFS('8 - Detailed Expenses'!$E:$E,'8 - Detailed Expenses'!$G:$G,'6 - P&amp;L Program Detail'!$A21,'8 - Detailed Expenses'!$H:$H,'6 - P&amp;L Program Detail'!J$1)</f>
        <v>0</v>
      </c>
      <c r="K21" s="391">
        <f t="shared" si="3"/>
        <v>9721.5932443281872</v>
      </c>
      <c r="L21" s="42">
        <f t="shared" si="2"/>
        <v>2.8545388778397015E-2</v>
      </c>
    </row>
    <row r="22" spans="1:14" ht="14">
      <c r="A22" s="4" t="s">
        <v>1062</v>
      </c>
      <c r="B22" s="389">
        <f>SUMIFS('8 - Detailed Expenses'!$E:$E,'8 - Detailed Expenses'!$G:$G,'6 - P&amp;L Program Detail'!$A22,'8 - Detailed Expenses'!$H:$H,'6 - P&amp;L Program Detail'!B$1)</f>
        <v>0</v>
      </c>
      <c r="C22" s="389">
        <f>SUMIFS('8 - Detailed Expenses'!$E:$E,'8 - Detailed Expenses'!$G:$G,'6 - P&amp;L Program Detail'!$A22,'8 - Detailed Expenses'!$H:$H,'6 - P&amp;L Program Detail'!C$1)</f>
        <v>0</v>
      </c>
      <c r="D22" s="389">
        <f>SUMIFS('8 - Detailed Expenses'!$E:$E,'8 - Detailed Expenses'!$G:$G,'6 - P&amp;L Program Detail'!$A22,'8 - Detailed Expenses'!$H:$H,'6 - P&amp;L Program Detail'!D$1)</f>
        <v>0</v>
      </c>
      <c r="E22" s="389">
        <f>SUMIFS('8 - Detailed Expenses'!$E:$E,'8 - Detailed Expenses'!$G:$G,'6 - P&amp;L Program Detail'!$A22,'8 - Detailed Expenses'!$H:$H,'6 - P&amp;L Program Detail'!E$1)</f>
        <v>0</v>
      </c>
      <c r="F22" s="389">
        <f>SUMIFS('8 - Detailed Expenses'!$E:$E,'8 - Detailed Expenses'!$G:$G,'6 - P&amp;L Program Detail'!$A22,'8 - Detailed Expenses'!$H:$H,'6 - P&amp;L Program Detail'!F$1)</f>
        <v>0</v>
      </c>
      <c r="G22" s="389">
        <f>SUMIFS('8 - Detailed Expenses'!$E:$E,'8 - Detailed Expenses'!$G:$G,'6 - P&amp;L Program Detail'!$A22,'8 - Detailed Expenses'!$H:$H,'6 - P&amp;L Program Detail'!G$1)</f>
        <v>0</v>
      </c>
      <c r="H22" s="389">
        <f>SUMIFS('8 - Detailed Expenses'!$E:$E,'8 - Detailed Expenses'!$G:$G,'6 - P&amp;L Program Detail'!$A22,'8 - Detailed Expenses'!$H:$H,'6 - P&amp;L Program Detail'!H$1)</f>
        <v>0</v>
      </c>
      <c r="I22" s="389">
        <f>SUMIFS('8 - Detailed Expenses'!$E:$E,'8 - Detailed Expenses'!$G:$G,'6 - P&amp;L Program Detail'!$A22,'8 - Detailed Expenses'!$H:$H,'6 - P&amp;L Program Detail'!I$1)</f>
        <v>0</v>
      </c>
      <c r="J22" s="389">
        <f>SUMIFS('8 - Detailed Expenses'!$E:$E,'8 - Detailed Expenses'!$G:$G,'6 - P&amp;L Program Detail'!$A22,'8 - Detailed Expenses'!$H:$H,'6 - P&amp;L Program Detail'!J$1)</f>
        <v>0</v>
      </c>
      <c r="K22" s="391">
        <f t="shared" si="3"/>
        <v>0</v>
      </c>
      <c r="L22" s="42">
        <f t="shared" si="2"/>
        <v>0</v>
      </c>
    </row>
    <row r="23" spans="1:14" s="10" customFormat="1" ht="12">
      <c r="A23" s="4" t="s">
        <v>19</v>
      </c>
      <c r="B23" s="389">
        <f>SUMIFS('8 - Detailed Expenses'!$E:$E,'8 - Detailed Expenses'!$G:$G,'6 - P&amp;L Program Detail'!$A23,'8 - Detailed Expenses'!$H:$H,'6 - P&amp;L Program Detail'!B$1)</f>
        <v>4402.5059231098003</v>
      </c>
      <c r="C23" s="389">
        <f>SUMIFS('8 - Detailed Expenses'!$E:$E,'8 - Detailed Expenses'!$G:$G,'6 - P&amp;L Program Detail'!$A23,'8 - Detailed Expenses'!$H:$H,'6 - P&amp;L Program Detail'!C$1)</f>
        <v>3105.2701527652998</v>
      </c>
      <c r="D23" s="389">
        <f>SUMIFS('8 - Detailed Expenses'!$E:$E,'8 - Detailed Expenses'!$G:$G,'6 - P&amp;L Program Detail'!$A23,'8 - Detailed Expenses'!$H:$H,'6 - P&amp;L Program Detail'!D$1)</f>
        <v>2744.7328930035387</v>
      </c>
      <c r="E23" s="389">
        <f>SUMIFS('8 - Detailed Expenses'!$E:$E,'8 - Detailed Expenses'!$G:$G,'6 - P&amp;L Program Detail'!$A23,'8 - Detailed Expenses'!$H:$H,'6 - P&amp;L Program Detail'!E$1)</f>
        <v>0</v>
      </c>
      <c r="F23" s="389">
        <f>SUMIFS('8 - Detailed Expenses'!$E:$E,'8 - Detailed Expenses'!$G:$G,'6 - P&amp;L Program Detail'!$A23,'8 - Detailed Expenses'!$H:$H,'6 - P&amp;L Program Detail'!F$1)</f>
        <v>0</v>
      </c>
      <c r="G23" s="389">
        <f>SUMIFS('8 - Detailed Expenses'!$E:$E,'8 - Detailed Expenses'!$G:$G,'6 - P&amp;L Program Detail'!$A23,'8 - Detailed Expenses'!$H:$H,'6 - P&amp;L Program Detail'!G$1)</f>
        <v>0</v>
      </c>
      <c r="H23" s="389">
        <f>SUMIFS('8 - Detailed Expenses'!$E:$E,'8 - Detailed Expenses'!$G:$G,'6 - P&amp;L Program Detail'!$A23,'8 - Detailed Expenses'!$H:$H,'6 - P&amp;L Program Detail'!H$1)</f>
        <v>0</v>
      </c>
      <c r="I23" s="389">
        <f>SUMIFS('8 - Detailed Expenses'!$E:$E,'8 - Detailed Expenses'!$G:$G,'6 - P&amp;L Program Detail'!$A23,'8 - Detailed Expenses'!$H:$H,'6 - P&amp;L Program Detail'!I$1)</f>
        <v>77.23250201126308</v>
      </c>
      <c r="J23" s="389">
        <f>SUMIFS('8 - Detailed Expenses'!$E:$E,'8 - Detailed Expenses'!$G:$G,'6 - P&amp;L Program Detail'!$A23,'8 - Detailed Expenses'!$H:$H,'6 - P&amp;L Program Detail'!J$1)</f>
        <v>0</v>
      </c>
      <c r="K23" s="391">
        <f t="shared" si="3"/>
        <v>10329.741470889903</v>
      </c>
      <c r="L23" s="42">
        <f t="shared" si="2"/>
        <v>3.0331086567411691E-2</v>
      </c>
    </row>
    <row r="24" spans="1:14" s="10" customFormat="1" ht="12">
      <c r="A24" s="4" t="s">
        <v>127</v>
      </c>
      <c r="B24" s="389">
        <f>SUMIFS('8 - Detailed Expenses'!$E:$E,'8 - Detailed Expenses'!$G:$G,'6 - P&amp;L Program Detail'!$A24,'8 - Detailed Expenses'!$H:$H,'6 - P&amp;L Program Detail'!B$1)</f>
        <v>893.80065480938435</v>
      </c>
      <c r="C24" s="389">
        <f>SUMIFS('8 - Detailed Expenses'!$E:$E,'8 - Detailed Expenses'!$G:$G,'6 - P&amp;L Program Detail'!$A24,'8 - Detailed Expenses'!$H:$H,'6 - P&amp;L Program Detail'!C$1)</f>
        <v>929.77418555592737</v>
      </c>
      <c r="D24" s="389">
        <f>SUMIFS('8 - Detailed Expenses'!$E:$E,'8 - Detailed Expenses'!$G:$G,'6 - P&amp;L Program Detail'!$A24,'8 - Detailed Expenses'!$H:$H,'6 - P&amp;L Program Detail'!D$1)</f>
        <v>0</v>
      </c>
      <c r="E24" s="389">
        <f>SUMIFS('8 - Detailed Expenses'!$E:$E,'8 - Detailed Expenses'!$G:$G,'6 - P&amp;L Program Detail'!$A24,'8 - Detailed Expenses'!$H:$H,'6 - P&amp;L Program Detail'!E$1)</f>
        <v>0</v>
      </c>
      <c r="F24" s="389">
        <f>SUMIFS('8 - Detailed Expenses'!$E:$E,'8 - Detailed Expenses'!$G:$G,'6 - P&amp;L Program Detail'!$A24,'8 - Detailed Expenses'!$H:$H,'6 - P&amp;L Program Detail'!F$1)</f>
        <v>0</v>
      </c>
      <c r="G24" s="389">
        <f>SUMIFS('8 - Detailed Expenses'!$E:$E,'8 - Detailed Expenses'!$G:$G,'6 - P&amp;L Program Detail'!$A24,'8 - Detailed Expenses'!$H:$H,'6 - P&amp;L Program Detail'!G$1)</f>
        <v>0</v>
      </c>
      <c r="H24" s="389">
        <f>SUMIFS('8 - Detailed Expenses'!$E:$E,'8 - Detailed Expenses'!$G:$G,'6 - P&amp;L Program Detail'!$A24,'8 - Detailed Expenses'!$H:$H,'6 - P&amp;L Program Detail'!H$1)</f>
        <v>0</v>
      </c>
      <c r="I24" s="389">
        <f>SUMIFS('8 - Detailed Expenses'!$E:$E,'8 - Detailed Expenses'!$G:$G,'6 - P&amp;L Program Detail'!$A24,'8 - Detailed Expenses'!$H:$H,'6 - P&amp;L Program Detail'!I$1)</f>
        <v>0</v>
      </c>
      <c r="J24" s="389">
        <f>SUMIFS('8 - Detailed Expenses'!$E:$E,'8 - Detailed Expenses'!$G:$G,'6 - P&amp;L Program Detail'!$A24,'8 - Detailed Expenses'!$H:$H,'6 - P&amp;L Program Detail'!J$1)</f>
        <v>0</v>
      </c>
      <c r="K24" s="391">
        <f t="shared" si="3"/>
        <v>1823.5748403653117</v>
      </c>
      <c r="L24" s="42">
        <f t="shared" si="2"/>
        <v>5.3545392690751634E-3</v>
      </c>
    </row>
    <row r="25" spans="1:14" s="10" customFormat="1" ht="12">
      <c r="A25" s="4" t="s">
        <v>108</v>
      </c>
      <c r="B25" s="389">
        <f>SUMIFS('8 - Detailed Expenses'!$E:$E,'8 - Detailed Expenses'!$G:$G,'6 - P&amp;L Program Detail'!$A25,'8 - Detailed Expenses'!$H:$H,'6 - P&amp;L Program Detail'!B$1)</f>
        <v>9214.2454156875447</v>
      </c>
      <c r="C25" s="389">
        <f>SUMIFS('8 - Detailed Expenses'!$E:$E,'8 - Detailed Expenses'!$G:$G,'6 - P&amp;L Program Detail'!$A25,'8 - Detailed Expenses'!$H:$H,'6 - P&amp;L Program Detail'!C$1)</f>
        <v>5132.5470821932495</v>
      </c>
      <c r="D25" s="389">
        <f>SUMIFS('8 - Detailed Expenses'!$E:$E,'8 - Detailed Expenses'!$G:$G,'6 - P&amp;L Program Detail'!$A25,'8 - Detailed Expenses'!$H:$H,'6 - P&amp;L Program Detail'!D$1)</f>
        <v>55663.687929781714</v>
      </c>
      <c r="E25" s="389">
        <f>SUMIFS('8 - Detailed Expenses'!$E:$E,'8 - Detailed Expenses'!$G:$G,'6 - P&amp;L Program Detail'!$A25,'8 - Detailed Expenses'!$H:$H,'6 - P&amp;L Program Detail'!E$1)</f>
        <v>0</v>
      </c>
      <c r="F25" s="389">
        <f>SUMIFS('8 - Detailed Expenses'!$E:$E,'8 - Detailed Expenses'!$G:$G,'6 - P&amp;L Program Detail'!$A25,'8 - Detailed Expenses'!$H:$H,'6 - P&amp;L Program Detail'!F$1)</f>
        <v>0</v>
      </c>
      <c r="G25" s="389">
        <f>SUMIFS('8 - Detailed Expenses'!$E:$E,'8 - Detailed Expenses'!$G:$G,'6 - P&amp;L Program Detail'!$A25,'8 - Detailed Expenses'!$H:$H,'6 - P&amp;L Program Detail'!G$1)</f>
        <v>0</v>
      </c>
      <c r="H25" s="389">
        <f>SUMIFS('8 - Detailed Expenses'!$E:$E,'8 - Detailed Expenses'!$G:$G,'6 - P&amp;L Program Detail'!$A25,'8 - Detailed Expenses'!$H:$H,'6 - P&amp;L Program Detail'!H$1)</f>
        <v>0</v>
      </c>
      <c r="I25" s="389">
        <f>SUMIFS('8 - Detailed Expenses'!$E:$E,'8 - Detailed Expenses'!$G:$G,'6 - P&amp;L Program Detail'!$A25,'8 - Detailed Expenses'!$H:$H,'6 - P&amp;L Program Detail'!I$1)</f>
        <v>0</v>
      </c>
      <c r="J25" s="389">
        <f>SUMIFS('8 - Detailed Expenses'!$E:$E,'8 - Detailed Expenses'!$G:$G,'6 - P&amp;L Program Detail'!$A25,'8 - Detailed Expenses'!$H:$H,'6 - P&amp;L Program Detail'!J$1)</f>
        <v>0</v>
      </c>
      <c r="K25" s="391">
        <f t="shared" si="3"/>
        <v>70010.480427662507</v>
      </c>
      <c r="L25" s="42">
        <f t="shared" si="2"/>
        <v>0.20557087013858974</v>
      </c>
    </row>
    <row r="26" spans="1:14" s="10" customFormat="1" ht="12">
      <c r="A26" s="4" t="s">
        <v>110</v>
      </c>
      <c r="B26" s="389">
        <f>SUMIFS('8 - Detailed Expenses'!$E:$E,'8 - Detailed Expenses'!$G:$G,'6 - P&amp;L Program Detail'!$A26,'8 - Detailed Expenses'!$H:$H,'6 - P&amp;L Program Detail'!B$1)</f>
        <v>0</v>
      </c>
      <c r="C26" s="389">
        <f>SUMIFS('8 - Detailed Expenses'!$E:$E,'8 - Detailed Expenses'!$G:$G,'6 - P&amp;L Program Detail'!$A26,'8 - Detailed Expenses'!$H:$H,'6 - P&amp;L Program Detail'!C$1)</f>
        <v>0</v>
      </c>
      <c r="D26" s="389">
        <f>SUMIFS('8 - Detailed Expenses'!$E:$E,'8 - Detailed Expenses'!$G:$G,'6 - P&amp;L Program Detail'!$A26,'8 - Detailed Expenses'!$H:$H,'6 - P&amp;L Program Detail'!D$1)</f>
        <v>0</v>
      </c>
      <c r="E26" s="389">
        <f>SUMIFS('8 - Detailed Expenses'!$E:$E,'8 - Detailed Expenses'!$G:$G,'6 - P&amp;L Program Detail'!$A26,'8 - Detailed Expenses'!$H:$H,'6 - P&amp;L Program Detail'!E$1)</f>
        <v>0</v>
      </c>
      <c r="F26" s="389">
        <f>SUMIFS('8 - Detailed Expenses'!$E:$E,'8 - Detailed Expenses'!$G:$G,'6 - P&amp;L Program Detail'!$A26,'8 - Detailed Expenses'!$H:$H,'6 - P&amp;L Program Detail'!F$1)</f>
        <v>0</v>
      </c>
      <c r="G26" s="389">
        <f>SUMIFS('8 - Detailed Expenses'!$E:$E,'8 - Detailed Expenses'!$G:$G,'6 - P&amp;L Program Detail'!$A26,'8 - Detailed Expenses'!$H:$H,'6 - P&amp;L Program Detail'!G$1)</f>
        <v>0</v>
      </c>
      <c r="H26" s="389">
        <f>SUMIFS('8 - Detailed Expenses'!$E:$E,'8 - Detailed Expenses'!$G:$G,'6 - P&amp;L Program Detail'!$A26,'8 - Detailed Expenses'!$H:$H,'6 - P&amp;L Program Detail'!H$1)</f>
        <v>3845</v>
      </c>
      <c r="I26" s="389">
        <f>SUMIFS('8 - Detailed Expenses'!$E:$E,'8 - Detailed Expenses'!$G:$G,'6 - P&amp;L Program Detail'!$A26,'8 - Detailed Expenses'!$H:$H,'6 - P&amp;L Program Detail'!I$1)</f>
        <v>0</v>
      </c>
      <c r="J26" s="389">
        <f>SUMIFS('8 - Detailed Expenses'!$E:$E,'8 - Detailed Expenses'!$G:$G,'6 - P&amp;L Program Detail'!$A26,'8 - Detailed Expenses'!$H:$H,'6 - P&amp;L Program Detail'!J$1)</f>
        <v>0</v>
      </c>
      <c r="K26" s="391">
        <f t="shared" si="3"/>
        <v>3845</v>
      </c>
      <c r="L26" s="42">
        <f t="shared" si="2"/>
        <v>1.1290023877204637E-2</v>
      </c>
    </row>
    <row r="27" spans="1:14" s="10" customFormat="1" ht="12">
      <c r="A27" s="4" t="s">
        <v>107</v>
      </c>
      <c r="B27" s="389">
        <f>SUMIFS('8 - Detailed Expenses'!$E:$E,'8 - Detailed Expenses'!$G:$G,'6 - P&amp;L Program Detail'!$A27,'8 - Detailed Expenses'!$H:$H,'6 - P&amp;L Program Detail'!B$1)</f>
        <v>0</v>
      </c>
      <c r="C27" s="389">
        <f>SUMIFS('8 - Detailed Expenses'!$E:$E,'8 - Detailed Expenses'!$G:$G,'6 - P&amp;L Program Detail'!$A27,'8 - Detailed Expenses'!$H:$H,'6 - P&amp;L Program Detail'!C$1)</f>
        <v>0</v>
      </c>
      <c r="D27" s="389">
        <f>SUMIFS('8 - Detailed Expenses'!$E:$E,'8 - Detailed Expenses'!$G:$G,'6 - P&amp;L Program Detail'!$A27,'8 - Detailed Expenses'!$H:$H,'6 - P&amp;L Program Detail'!D$1)</f>
        <v>5490.1968565423876</v>
      </c>
      <c r="E27" s="389">
        <f>SUMIFS('8 - Detailed Expenses'!$E:$E,'8 - Detailed Expenses'!$G:$G,'6 - P&amp;L Program Detail'!$A27,'8 - Detailed Expenses'!$H:$H,'6 - P&amp;L Program Detail'!E$1)</f>
        <v>0</v>
      </c>
      <c r="F27" s="389">
        <f>SUMIFS('8 - Detailed Expenses'!$E:$E,'8 - Detailed Expenses'!$G:$G,'6 - P&amp;L Program Detail'!$A27,'8 - Detailed Expenses'!$H:$H,'6 - P&amp;L Program Detail'!F$1)</f>
        <v>0</v>
      </c>
      <c r="G27" s="389">
        <f>SUMIFS('8 - Detailed Expenses'!$E:$E,'8 - Detailed Expenses'!$G:$G,'6 - P&amp;L Program Detail'!$A27,'8 - Detailed Expenses'!$H:$H,'6 - P&amp;L Program Detail'!G$1)</f>
        <v>0</v>
      </c>
      <c r="H27" s="389">
        <f>SUMIFS('8 - Detailed Expenses'!$E:$E,'8 - Detailed Expenses'!$G:$G,'6 - P&amp;L Program Detail'!$A27,'8 - Detailed Expenses'!$H:$H,'6 - P&amp;L Program Detail'!H$1)</f>
        <v>0</v>
      </c>
      <c r="I27" s="389">
        <f>SUMIFS('8 - Detailed Expenses'!$E:$E,'8 - Detailed Expenses'!$G:$G,'6 - P&amp;L Program Detail'!$A27,'8 - Detailed Expenses'!$H:$H,'6 - P&amp;L Program Detail'!I$1)</f>
        <v>0</v>
      </c>
      <c r="J27" s="389">
        <f>SUMIFS('8 - Detailed Expenses'!$E:$E,'8 - Detailed Expenses'!$G:$G,'6 - P&amp;L Program Detail'!$A27,'8 - Detailed Expenses'!$H:$H,'6 - P&amp;L Program Detail'!J$1)</f>
        <v>0</v>
      </c>
      <c r="K27" s="391">
        <f t="shared" si="3"/>
        <v>5490.1968565423876</v>
      </c>
      <c r="L27" s="42">
        <f t="shared" si="2"/>
        <v>1.612079417449087E-2</v>
      </c>
    </row>
    <row r="28" spans="1:14" s="10" customFormat="1" ht="12">
      <c r="A28" s="4" t="s">
        <v>128</v>
      </c>
      <c r="B28" s="389">
        <f>SUMIFS('8 - Detailed Expenses'!$E:$E,'8 - Detailed Expenses'!$G:$G,'6 - P&amp;L Program Detail'!$A28,'8 - Detailed Expenses'!$H:$H,'6 - P&amp;L Program Detail'!B$1)</f>
        <v>0</v>
      </c>
      <c r="C28" s="389">
        <f>SUMIFS('8 - Detailed Expenses'!$E:$E,'8 - Detailed Expenses'!$G:$G,'6 - P&amp;L Program Detail'!$A28,'8 - Detailed Expenses'!$H:$H,'6 - P&amp;L Program Detail'!C$1)</f>
        <v>0</v>
      </c>
      <c r="D28" s="389">
        <f>SUMIFS('8 - Detailed Expenses'!$E:$E,'8 - Detailed Expenses'!$G:$G,'6 - P&amp;L Program Detail'!$A28,'8 - Detailed Expenses'!$H:$H,'6 - P&amp;L Program Detail'!D$1)</f>
        <v>0</v>
      </c>
      <c r="E28" s="389">
        <f>SUMIFS('8 - Detailed Expenses'!$E:$E,'8 - Detailed Expenses'!$G:$G,'6 - P&amp;L Program Detail'!$A28,'8 - Detailed Expenses'!$H:$H,'6 - P&amp;L Program Detail'!E$1)</f>
        <v>0</v>
      </c>
      <c r="F28" s="389">
        <f>SUMIFS('8 - Detailed Expenses'!$E:$E,'8 - Detailed Expenses'!$G:$G,'6 - P&amp;L Program Detail'!$A28,'8 - Detailed Expenses'!$H:$H,'6 - P&amp;L Program Detail'!F$1)</f>
        <v>0</v>
      </c>
      <c r="G28" s="389">
        <f>SUMIFS('8 - Detailed Expenses'!$E:$E,'8 - Detailed Expenses'!$G:$G,'6 - P&amp;L Program Detail'!$A28,'8 - Detailed Expenses'!$H:$H,'6 - P&amp;L Program Detail'!G$1)</f>
        <v>0</v>
      </c>
      <c r="H28" s="389">
        <f>SUMIFS('8 - Detailed Expenses'!$E:$E,'8 - Detailed Expenses'!$G:$G,'6 - P&amp;L Program Detail'!$A28,'8 - Detailed Expenses'!$H:$H,'6 - P&amp;L Program Detail'!H$1)</f>
        <v>0</v>
      </c>
      <c r="I28" s="389">
        <f>SUMIFS('8 - Detailed Expenses'!$E:$E,'8 - Detailed Expenses'!$G:$G,'6 - P&amp;L Program Detail'!$A28,'8 - Detailed Expenses'!$H:$H,'6 - P&amp;L Program Detail'!I$1)</f>
        <v>0</v>
      </c>
      <c r="J28" s="389">
        <f>SUMIFS('8 - Detailed Expenses'!$E:$E,'8 - Detailed Expenses'!$G:$G,'6 - P&amp;L Program Detail'!$A28,'8 - Detailed Expenses'!$H:$H,'6 - P&amp;L Program Detail'!J$1)</f>
        <v>0</v>
      </c>
      <c r="K28" s="391">
        <f t="shared" si="3"/>
        <v>0</v>
      </c>
      <c r="L28" s="42">
        <f t="shared" si="2"/>
        <v>0</v>
      </c>
    </row>
    <row r="29" spans="1:14" s="10" customFormat="1" ht="12">
      <c r="A29" s="4" t="s">
        <v>129</v>
      </c>
      <c r="B29" s="389">
        <f>SUMIFS('8 - Detailed Expenses'!$E:$E,'8 - Detailed Expenses'!$G:$G,'6 - P&amp;L Program Detail'!$A29,'8 - Detailed Expenses'!$H:$H,'6 - P&amp;L Program Detail'!B$1)</f>
        <v>0</v>
      </c>
      <c r="C29" s="389">
        <f>SUMIFS('8 - Detailed Expenses'!$E:$E,'8 - Detailed Expenses'!$G:$G,'6 - P&amp;L Program Detail'!$A29,'8 - Detailed Expenses'!$H:$H,'6 - P&amp;L Program Detail'!C$1)</f>
        <v>0</v>
      </c>
      <c r="D29" s="389">
        <f>SUMIFS('8 - Detailed Expenses'!$E:$E,'8 - Detailed Expenses'!$G:$G,'6 - P&amp;L Program Detail'!$A29,'8 - Detailed Expenses'!$H:$H,'6 - P&amp;L Program Detail'!D$1)</f>
        <v>0</v>
      </c>
      <c r="E29" s="389">
        <f>SUMIFS('8 - Detailed Expenses'!$E:$E,'8 - Detailed Expenses'!$G:$G,'6 - P&amp;L Program Detail'!$A29,'8 - Detailed Expenses'!$H:$H,'6 - P&amp;L Program Detail'!E$1)</f>
        <v>0</v>
      </c>
      <c r="F29" s="389">
        <f>SUMIFS('8 - Detailed Expenses'!$E:$E,'8 - Detailed Expenses'!$G:$G,'6 - P&amp;L Program Detail'!$A29,'8 - Detailed Expenses'!$H:$H,'6 - P&amp;L Program Detail'!F$1)</f>
        <v>0</v>
      </c>
      <c r="G29" s="389">
        <f>SUMIFS('8 - Detailed Expenses'!$E:$E,'8 - Detailed Expenses'!$G:$G,'6 - P&amp;L Program Detail'!$A29,'8 - Detailed Expenses'!$H:$H,'6 - P&amp;L Program Detail'!G$1)</f>
        <v>0</v>
      </c>
      <c r="H29" s="389">
        <f>SUMIFS('8 - Detailed Expenses'!$E:$E,'8 - Detailed Expenses'!$G:$G,'6 - P&amp;L Program Detail'!$A29,'8 - Detailed Expenses'!$H:$H,'6 - P&amp;L Program Detail'!H$1)</f>
        <v>0</v>
      </c>
      <c r="I29" s="389">
        <f>SUMIFS('8 - Detailed Expenses'!$E:$E,'8 - Detailed Expenses'!$G:$G,'6 - P&amp;L Program Detail'!$A29,'8 - Detailed Expenses'!$H:$H,'6 - P&amp;L Program Detail'!I$1)</f>
        <v>0</v>
      </c>
      <c r="J29" s="389">
        <f>SUMIFS('8 - Detailed Expenses'!$E:$E,'8 - Detailed Expenses'!$G:$G,'6 - P&amp;L Program Detail'!$A29,'8 - Detailed Expenses'!$H:$H,'6 - P&amp;L Program Detail'!J$1)</f>
        <v>0</v>
      </c>
      <c r="K29" s="391">
        <f t="shared" si="3"/>
        <v>0</v>
      </c>
      <c r="L29" s="42">
        <f t="shared" si="2"/>
        <v>0</v>
      </c>
    </row>
    <row r="30" spans="1:14" s="10" customFormat="1" ht="12">
      <c r="A30" s="4" t="s">
        <v>130</v>
      </c>
      <c r="B30" s="389">
        <f>SUMIFS('8 - Detailed Expenses'!$E:$E,'8 - Detailed Expenses'!$G:$G,'6 - P&amp;L Program Detail'!$A30,'8 - Detailed Expenses'!$H:$H,'6 - P&amp;L Program Detail'!B$1)</f>
        <v>0</v>
      </c>
      <c r="C30" s="389">
        <f>SUMIFS('8 - Detailed Expenses'!$E:$E,'8 - Detailed Expenses'!$G:$G,'6 - P&amp;L Program Detail'!$A30,'8 - Detailed Expenses'!$H:$H,'6 - P&amp;L Program Detail'!C$1)</f>
        <v>0</v>
      </c>
      <c r="D30" s="389">
        <f>SUMIFS('8 - Detailed Expenses'!$E:$E,'8 - Detailed Expenses'!$G:$G,'6 - P&amp;L Program Detail'!$A30,'8 - Detailed Expenses'!$H:$H,'6 - P&amp;L Program Detail'!D$1)</f>
        <v>0</v>
      </c>
      <c r="E30" s="389">
        <f>SUMIFS('8 - Detailed Expenses'!$E:$E,'8 - Detailed Expenses'!$G:$G,'6 - P&amp;L Program Detail'!$A30,'8 - Detailed Expenses'!$H:$H,'6 - P&amp;L Program Detail'!E$1)</f>
        <v>0</v>
      </c>
      <c r="F30" s="389">
        <f>SUMIFS('8 - Detailed Expenses'!$E:$E,'8 - Detailed Expenses'!$G:$G,'6 - P&amp;L Program Detail'!$A30,'8 - Detailed Expenses'!$H:$H,'6 - P&amp;L Program Detail'!F$1)</f>
        <v>0</v>
      </c>
      <c r="G30" s="389">
        <f>SUMIFS('8 - Detailed Expenses'!$E:$E,'8 - Detailed Expenses'!$G:$G,'6 - P&amp;L Program Detail'!$A30,'8 - Detailed Expenses'!$H:$H,'6 - P&amp;L Program Detail'!G$1)</f>
        <v>0</v>
      </c>
      <c r="H30" s="389">
        <f>SUMIFS('8 - Detailed Expenses'!$E:$E,'8 - Detailed Expenses'!$G:$G,'6 - P&amp;L Program Detail'!$A30,'8 - Detailed Expenses'!$H:$H,'6 - P&amp;L Program Detail'!H$1)</f>
        <v>0</v>
      </c>
      <c r="I30" s="389">
        <f>SUMIFS('8 - Detailed Expenses'!$E:$E,'8 - Detailed Expenses'!$G:$G,'6 - P&amp;L Program Detail'!$A30,'8 - Detailed Expenses'!$H:$H,'6 - P&amp;L Program Detail'!I$1)</f>
        <v>0</v>
      </c>
      <c r="J30" s="389">
        <f>SUMIFS('8 - Detailed Expenses'!$E:$E,'8 - Detailed Expenses'!$G:$G,'6 - P&amp;L Program Detail'!$A30,'8 - Detailed Expenses'!$H:$H,'6 - P&amp;L Program Detail'!J$1)</f>
        <v>0</v>
      </c>
      <c r="K30" s="391">
        <f t="shared" si="3"/>
        <v>0</v>
      </c>
      <c r="L30" s="42">
        <f t="shared" si="2"/>
        <v>0</v>
      </c>
    </row>
    <row r="31" spans="1:14" s="10" customFormat="1" ht="12">
      <c r="A31" s="4" t="s">
        <v>109</v>
      </c>
      <c r="B31" s="389">
        <f>SUMIFS('8 - Detailed Expenses'!$E:$E,'8 - Detailed Expenses'!$G:$G,'6 - P&amp;L Program Detail'!$A31,'8 - Detailed Expenses'!$H:$H,'6 - P&amp;L Program Detail'!B$1)</f>
        <v>95</v>
      </c>
      <c r="C31" s="389">
        <f>SUMIFS('8 - Detailed Expenses'!$E:$E,'8 - Detailed Expenses'!$G:$G,'6 - P&amp;L Program Detail'!$A31,'8 - Detailed Expenses'!$H:$H,'6 - P&amp;L Program Detail'!C$1)</f>
        <v>0</v>
      </c>
      <c r="D31" s="389">
        <f>SUMIFS('8 - Detailed Expenses'!$E:$E,'8 - Detailed Expenses'!$G:$G,'6 - P&amp;L Program Detail'!$A31,'8 - Detailed Expenses'!$H:$H,'6 - P&amp;L Program Detail'!D$1)</f>
        <v>957.10571232592633</v>
      </c>
      <c r="E31" s="389">
        <f>SUMIFS('8 - Detailed Expenses'!$E:$E,'8 - Detailed Expenses'!$G:$G,'6 - P&amp;L Program Detail'!$A31,'8 - Detailed Expenses'!$H:$H,'6 - P&amp;L Program Detail'!E$1)</f>
        <v>203.53982300884957</v>
      </c>
      <c r="F31" s="389">
        <f>SUMIFS('8 - Detailed Expenses'!$E:$E,'8 - Detailed Expenses'!$G:$G,'6 - P&amp;L Program Detail'!$A31,'8 - Detailed Expenses'!$H:$H,'6 - P&amp;L Program Detail'!F$1)</f>
        <v>28750</v>
      </c>
      <c r="G31" s="389">
        <f>SUMIFS('8 - Detailed Expenses'!$E:$E,'8 - Detailed Expenses'!$G:$G,'6 - P&amp;L Program Detail'!$A31,'8 - Detailed Expenses'!$H:$H,'6 - P&amp;L Program Detail'!G$1)</f>
        <v>0</v>
      </c>
      <c r="H31" s="389">
        <f>SUMIFS('8 - Detailed Expenses'!$E:$E,'8 - Detailed Expenses'!$G:$G,'6 - P&amp;L Program Detail'!$A31,'8 - Detailed Expenses'!$H:$H,'6 - P&amp;L Program Detail'!H$1)</f>
        <v>0</v>
      </c>
      <c r="I31" s="389">
        <f>SUMIFS('8 - Detailed Expenses'!$E:$E,'8 - Detailed Expenses'!$G:$G,'6 - P&amp;L Program Detail'!$A31,'8 - Detailed Expenses'!$H:$H,'6 - P&amp;L Program Detail'!I$1)</f>
        <v>0</v>
      </c>
      <c r="J31" s="389">
        <f>SUMIFS('8 - Detailed Expenses'!$E:$E,'8 - Detailed Expenses'!$G:$G,'6 - P&amp;L Program Detail'!$A31,'8 - Detailed Expenses'!$H:$H,'6 - P&amp;L Program Detail'!J$1)</f>
        <v>0</v>
      </c>
      <c r="K31" s="391">
        <f t="shared" si="3"/>
        <v>30005.645535334777</v>
      </c>
      <c r="L31" s="42">
        <f t="shared" si="2"/>
        <v>8.8105189738587344E-2</v>
      </c>
    </row>
    <row r="32" spans="1:14" s="10" customFormat="1" ht="12">
      <c r="A32" s="4" t="s">
        <v>131</v>
      </c>
      <c r="B32" s="389">
        <f>SUMIFS('8 - Detailed Expenses'!$E:$E,'8 - Detailed Expenses'!$G:$G,'6 - P&amp;L Program Detail'!$A32,'8 - Detailed Expenses'!$H:$H,'6 - P&amp;L Program Detail'!B$1)</f>
        <v>0</v>
      </c>
      <c r="C32" s="389">
        <f>SUMIFS('8 - Detailed Expenses'!$E:$E,'8 - Detailed Expenses'!$G:$G,'6 - P&amp;L Program Detail'!$A32,'8 - Detailed Expenses'!$H:$H,'6 - P&amp;L Program Detail'!C$1)</f>
        <v>0</v>
      </c>
      <c r="D32" s="389">
        <f>SUMIFS('8 - Detailed Expenses'!$E:$E,'8 - Detailed Expenses'!$G:$G,'6 - P&amp;L Program Detail'!$A32,'8 - Detailed Expenses'!$H:$H,'6 - P&amp;L Program Detail'!D$1)</f>
        <v>0</v>
      </c>
      <c r="E32" s="389">
        <f>SUMIFS('8 - Detailed Expenses'!$E:$E,'8 - Detailed Expenses'!$G:$G,'6 - P&amp;L Program Detail'!$A32,'8 - Detailed Expenses'!$H:$H,'6 - P&amp;L Program Detail'!E$1)</f>
        <v>0</v>
      </c>
      <c r="F32" s="389">
        <f>SUMIFS('8 - Detailed Expenses'!$E:$E,'8 - Detailed Expenses'!$G:$G,'6 - P&amp;L Program Detail'!$A32,'8 - Detailed Expenses'!$H:$H,'6 - P&amp;L Program Detail'!F$1)</f>
        <v>0</v>
      </c>
      <c r="G32" s="389">
        <f>SUMIFS('8 - Detailed Expenses'!$E:$E,'8 - Detailed Expenses'!$G:$G,'6 - P&amp;L Program Detail'!$A32,'8 - Detailed Expenses'!$H:$H,'6 - P&amp;L Program Detail'!G$1)</f>
        <v>0</v>
      </c>
      <c r="H32" s="389">
        <f>SUMIFS('8 - Detailed Expenses'!$E:$E,'8 - Detailed Expenses'!$G:$G,'6 - P&amp;L Program Detail'!$A32,'8 - Detailed Expenses'!$H:$H,'6 - P&amp;L Program Detail'!H$1)</f>
        <v>0</v>
      </c>
      <c r="I32" s="389">
        <f>SUMIFS('8 - Detailed Expenses'!$E:$E,'8 - Detailed Expenses'!$G:$G,'6 - P&amp;L Program Detail'!$A32,'8 - Detailed Expenses'!$H:$H,'6 - P&amp;L Program Detail'!I$1)</f>
        <v>0</v>
      </c>
      <c r="J32" s="389">
        <f>SUMIFS('8 - Detailed Expenses'!$E:$E,'8 - Detailed Expenses'!$G:$G,'6 - P&amp;L Program Detail'!$A32,'8 - Detailed Expenses'!$H:$H,'6 - P&amp;L Program Detail'!J$1)</f>
        <v>0</v>
      </c>
      <c r="K32" s="391">
        <f t="shared" si="3"/>
        <v>0</v>
      </c>
      <c r="L32" s="42">
        <f t="shared" si="2"/>
        <v>0</v>
      </c>
    </row>
    <row r="33" spans="1:255" s="10" customFormat="1" ht="12">
      <c r="A33" s="4" t="s">
        <v>114</v>
      </c>
      <c r="B33" s="389">
        <f>SUMIFS('8 - Detailed Expenses'!$E:$E,'8 - Detailed Expenses'!$G:$G,'6 - P&amp;L Program Detail'!$A33,'8 - Detailed Expenses'!$H:$H,'6 - P&amp;L Program Detail'!B$1)</f>
        <v>2405.7384873991705</v>
      </c>
      <c r="C33" s="389">
        <f>SUMIFS('8 - Detailed Expenses'!$E:$E,'8 - Detailed Expenses'!$G:$G,'6 - P&amp;L Program Detail'!$A33,'8 - Detailed Expenses'!$H:$H,'6 - P&amp;L Program Detail'!C$1)</f>
        <v>12.01172344207947</v>
      </c>
      <c r="D33" s="389">
        <f>SUMIFS('8 - Detailed Expenses'!$E:$E,'8 - Detailed Expenses'!$G:$G,'6 - P&amp;L Program Detail'!$A33,'8 - Detailed Expenses'!$H:$H,'6 - P&amp;L Program Detail'!D$1)</f>
        <v>2132.8068768876083</v>
      </c>
      <c r="E33" s="389">
        <f>SUMIFS('8 - Detailed Expenses'!$E:$E,'8 - Detailed Expenses'!$G:$G,'6 - P&amp;L Program Detail'!$A33,'8 - Detailed Expenses'!$H:$H,'6 - P&amp;L Program Detail'!E$1)</f>
        <v>11.924437245892969</v>
      </c>
      <c r="F33" s="389">
        <f>SUMIFS('8 - Detailed Expenses'!$E:$E,'8 - Detailed Expenses'!$G:$G,'6 - P&amp;L Program Detail'!$A33,'8 - Detailed Expenses'!$H:$H,'6 - P&amp;L Program Detail'!F$1)</f>
        <v>0</v>
      </c>
      <c r="G33" s="389">
        <f>SUMIFS('8 - Detailed Expenses'!$E:$E,'8 - Detailed Expenses'!$G:$G,'6 - P&amp;L Program Detail'!$A33,'8 - Detailed Expenses'!$H:$H,'6 - P&amp;L Program Detail'!G$1)</f>
        <v>0</v>
      </c>
      <c r="H33" s="389">
        <f>SUMIFS('8 - Detailed Expenses'!$E:$E,'8 - Detailed Expenses'!$G:$G,'6 - P&amp;L Program Detail'!$A33,'8 - Detailed Expenses'!$H:$H,'6 - P&amp;L Program Detail'!H$1)</f>
        <v>0</v>
      </c>
      <c r="I33" s="389">
        <f>SUMIFS('8 - Detailed Expenses'!$E:$E,'8 - Detailed Expenses'!$G:$G,'6 - P&amp;L Program Detail'!$A33,'8 - Detailed Expenses'!$H:$H,'6 - P&amp;L Program Detail'!I$1)</f>
        <v>1.9308125502815769</v>
      </c>
      <c r="J33" s="389">
        <f>SUMIFS('8 - Detailed Expenses'!$E:$E,'8 - Detailed Expenses'!$G:$G,'6 - P&amp;L Program Detail'!$A33,'8 - Detailed Expenses'!$H:$H,'6 - P&amp;L Program Detail'!J$1)</f>
        <v>0</v>
      </c>
      <c r="K33" s="391">
        <f t="shared" si="3"/>
        <v>4564.4123375250329</v>
      </c>
      <c r="L33" s="42">
        <f t="shared" si="2"/>
        <v>1.34024250392887E-2</v>
      </c>
    </row>
    <row r="34" spans="1:255" s="10" customFormat="1" ht="12">
      <c r="A34" s="4" t="s">
        <v>111</v>
      </c>
      <c r="B34" s="389">
        <f>SUMIFS('8 - Detailed Expenses'!$E:$E,'8 - Detailed Expenses'!$G:$G,'6 - P&amp;L Program Detail'!$A34,'8 - Detailed Expenses'!$H:$H,'6 - P&amp;L Program Detail'!B$1)</f>
        <v>30509.966933390406</v>
      </c>
      <c r="C34" s="389">
        <f>SUMIFS('8 - Detailed Expenses'!$E:$E,'8 - Detailed Expenses'!$G:$G,'6 - P&amp;L Program Detail'!$A34,'8 - Detailed Expenses'!$H:$H,'6 - P&amp;L Program Detail'!C$1)</f>
        <v>32814.395041379816</v>
      </c>
      <c r="D34" s="389">
        <f>SUMIFS('8 - Detailed Expenses'!$E:$E,'8 - Detailed Expenses'!$G:$G,'6 - P&amp;L Program Detail'!$A34,'8 - Detailed Expenses'!$H:$H,'6 - P&amp;L Program Detail'!D$1)</f>
        <v>3265.6952300994617</v>
      </c>
      <c r="E34" s="389">
        <f>SUMIFS('8 - Detailed Expenses'!$E:$E,'8 - Detailed Expenses'!$G:$G,'6 - P&amp;L Program Detail'!$A34,'8 - Detailed Expenses'!$H:$H,'6 - P&amp;L Program Detail'!E$1)</f>
        <v>0</v>
      </c>
      <c r="F34" s="389">
        <f>SUMIFS('8 - Detailed Expenses'!$E:$E,'8 - Detailed Expenses'!$G:$G,'6 - P&amp;L Program Detail'!$A34,'8 - Detailed Expenses'!$H:$H,'6 - P&amp;L Program Detail'!F$1)</f>
        <v>0</v>
      </c>
      <c r="G34" s="389">
        <f>SUMIFS('8 - Detailed Expenses'!$E:$E,'8 - Detailed Expenses'!$G:$G,'6 - P&amp;L Program Detail'!$A34,'8 - Detailed Expenses'!$H:$H,'6 - P&amp;L Program Detail'!G$1)</f>
        <v>0</v>
      </c>
      <c r="H34" s="389">
        <f>SUMIFS('8 - Detailed Expenses'!$E:$E,'8 - Detailed Expenses'!$G:$G,'6 - P&amp;L Program Detail'!$A34,'8 - Detailed Expenses'!$H:$H,'6 - P&amp;L Program Detail'!H$1)</f>
        <v>0</v>
      </c>
      <c r="I34" s="389">
        <f>SUMIFS('8 - Detailed Expenses'!$E:$E,'8 - Detailed Expenses'!$G:$G,'6 - P&amp;L Program Detail'!$A34,'8 - Detailed Expenses'!$H:$H,'6 - P&amp;L Program Detail'!I$1)</f>
        <v>0</v>
      </c>
      <c r="J34" s="389">
        <f>SUMIFS('8 - Detailed Expenses'!$E:$E,'8 - Detailed Expenses'!$G:$G,'6 - P&amp;L Program Detail'!$A34,'8 - Detailed Expenses'!$H:$H,'6 - P&amp;L Program Detail'!J$1)</f>
        <v>0</v>
      </c>
      <c r="K34" s="391">
        <f t="shared" si="3"/>
        <v>66590.057204869678</v>
      </c>
      <c r="L34" s="42">
        <f t="shared" si="2"/>
        <v>0.19552752557279618</v>
      </c>
    </row>
    <row r="35" spans="1:255" ht="14">
      <c r="A35" s="4" t="s">
        <v>1063</v>
      </c>
      <c r="B35" s="389">
        <f>SUMIFS('8 - Detailed Expenses'!$E:$E,'8 - Detailed Expenses'!$G:$G,'6 - P&amp;L Program Detail'!$A35,'8 - Detailed Expenses'!$H:$H,'6 - P&amp;L Program Detail'!B$1)</f>
        <v>0</v>
      </c>
      <c r="C35" s="389">
        <f>SUMIFS('8 - Detailed Expenses'!$E:$E,'8 - Detailed Expenses'!$G:$G,'6 - P&amp;L Program Detail'!$A35,'8 - Detailed Expenses'!$H:$H,'6 - P&amp;L Program Detail'!C$1)</f>
        <v>0</v>
      </c>
      <c r="D35" s="389">
        <f>SUMIFS('8 - Detailed Expenses'!$E:$E,'8 - Detailed Expenses'!$G:$G,'6 - P&amp;L Program Detail'!$A35,'8 - Detailed Expenses'!$H:$H,'6 - P&amp;L Program Detail'!D$1)</f>
        <v>0</v>
      </c>
      <c r="E35" s="389">
        <f>SUMIFS('8 - Detailed Expenses'!$E:$E,'8 - Detailed Expenses'!$G:$G,'6 - P&amp;L Program Detail'!$A35,'8 - Detailed Expenses'!$H:$H,'6 - P&amp;L Program Detail'!E$1)</f>
        <v>0</v>
      </c>
      <c r="F35" s="389">
        <f>SUMIFS('8 - Detailed Expenses'!$E:$E,'8 - Detailed Expenses'!$G:$G,'6 - P&amp;L Program Detail'!$A35,'8 - Detailed Expenses'!$H:$H,'6 - P&amp;L Program Detail'!F$1)</f>
        <v>0</v>
      </c>
      <c r="G35" s="389">
        <f>SUMIFS('8 - Detailed Expenses'!$E:$E,'8 - Detailed Expenses'!$G:$G,'6 - P&amp;L Program Detail'!$A35,'8 - Detailed Expenses'!$H:$H,'6 - P&amp;L Program Detail'!G$1)</f>
        <v>0</v>
      </c>
      <c r="H35" s="389">
        <f>SUMIFS('8 - Detailed Expenses'!$E:$E,'8 - Detailed Expenses'!$G:$G,'6 - P&amp;L Program Detail'!$A35,'8 - Detailed Expenses'!$H:$H,'6 - P&amp;L Program Detail'!H$1)</f>
        <v>0</v>
      </c>
      <c r="I35" s="389">
        <f>SUMIFS('8 - Detailed Expenses'!$E:$E,'8 - Detailed Expenses'!$G:$G,'6 - P&amp;L Program Detail'!$A35,'8 - Detailed Expenses'!$H:$H,'6 - P&amp;L Program Detail'!I$1)</f>
        <v>0</v>
      </c>
      <c r="J35" s="389">
        <f>SUMIFS('8 - Detailed Expenses'!$E:$E,'8 - Detailed Expenses'!$G:$G,'6 - P&amp;L Program Detail'!$A35,'8 - Detailed Expenses'!$H:$H,'6 - P&amp;L Program Detail'!J$1)</f>
        <v>0</v>
      </c>
      <c r="K35" s="391">
        <f t="shared" si="3"/>
        <v>0</v>
      </c>
      <c r="L35" s="42">
        <f t="shared" si="2"/>
        <v>0</v>
      </c>
    </row>
    <row r="36" spans="1:255" s="10" customFormat="1" ht="12">
      <c r="A36" s="4" t="s">
        <v>113</v>
      </c>
      <c r="B36" s="389">
        <f>SUMIFS('8 - Detailed Expenses'!$E:$E,'8 - Detailed Expenses'!$G:$G,'6 - P&amp;L Program Detail'!$A36,'8 - Detailed Expenses'!$H:$H,'6 - P&amp;L Program Detail'!B$1)</f>
        <v>37741.04057544985</v>
      </c>
      <c r="C36" s="389">
        <f>SUMIFS('8 - Detailed Expenses'!$E:$E,'8 - Detailed Expenses'!$G:$G,'6 - P&amp;L Program Detail'!$A36,'8 - Detailed Expenses'!$H:$H,'6 - P&amp;L Program Detail'!C$1)</f>
        <v>0</v>
      </c>
      <c r="D36" s="389">
        <f>SUMIFS('8 - Detailed Expenses'!$E:$E,'8 - Detailed Expenses'!$G:$G,'6 - P&amp;L Program Detail'!$A36,'8 - Detailed Expenses'!$H:$H,'6 - P&amp;L Program Detail'!D$1)</f>
        <v>7296.4976181914071</v>
      </c>
      <c r="E36" s="389">
        <f>SUMIFS('8 - Detailed Expenses'!$E:$E,'8 - Detailed Expenses'!$G:$G,'6 - P&amp;L Program Detail'!$A36,'8 - Detailed Expenses'!$H:$H,'6 - P&amp;L Program Detail'!E$1)</f>
        <v>0</v>
      </c>
      <c r="F36" s="389">
        <f>SUMIFS('8 - Detailed Expenses'!$E:$E,'8 - Detailed Expenses'!$G:$G,'6 - P&amp;L Program Detail'!$A36,'8 - Detailed Expenses'!$H:$H,'6 - P&amp;L Program Detail'!F$1)</f>
        <v>0</v>
      </c>
      <c r="G36" s="389">
        <f>SUMIFS('8 - Detailed Expenses'!$E:$E,'8 - Detailed Expenses'!$G:$G,'6 - P&amp;L Program Detail'!$A36,'8 - Detailed Expenses'!$H:$H,'6 - P&amp;L Program Detail'!G$1)</f>
        <v>0</v>
      </c>
      <c r="H36" s="389">
        <f>SUMIFS('8 - Detailed Expenses'!$E:$E,'8 - Detailed Expenses'!$G:$G,'6 - P&amp;L Program Detail'!$A36,'8 - Detailed Expenses'!$H:$H,'6 - P&amp;L Program Detail'!H$1)</f>
        <v>0</v>
      </c>
      <c r="I36" s="389">
        <f>SUMIFS('8 - Detailed Expenses'!$E:$E,'8 - Detailed Expenses'!$G:$G,'6 - P&amp;L Program Detail'!$A36,'8 - Detailed Expenses'!$H:$H,'6 - P&amp;L Program Detail'!I$1)</f>
        <v>4505.632567117038</v>
      </c>
      <c r="J36" s="389">
        <f>SUMIFS('8 - Detailed Expenses'!$E:$E,'8 - Detailed Expenses'!$G:$G,'6 - P&amp;L Program Detail'!$A36,'8 - Detailed Expenses'!$H:$H,'6 - P&amp;L Program Detail'!J$1)</f>
        <v>0</v>
      </c>
      <c r="K36" s="391">
        <f t="shared" si="3"/>
        <v>49543.170760758294</v>
      </c>
      <c r="L36" s="42">
        <f t="shared" si="2"/>
        <v>0.14547297291063399</v>
      </c>
    </row>
    <row r="37" spans="1:255" s="10" customFormat="1" ht="12">
      <c r="A37" s="4" t="s">
        <v>132</v>
      </c>
      <c r="B37" s="389">
        <f>SUMIFS('8 - Detailed Expenses'!$E:$E,'8 - Detailed Expenses'!$G:$G,'6 - P&amp;L Program Detail'!$A37,'8 - Detailed Expenses'!$H:$H,'6 - P&amp;L Program Detail'!B$1)</f>
        <v>1193.2518287170537</v>
      </c>
      <c r="C37" s="389">
        <f>SUMIFS('8 - Detailed Expenses'!$E:$E,'8 - Detailed Expenses'!$G:$G,'6 - P&amp;L Program Detail'!$A37,'8 - Detailed Expenses'!$H:$H,'6 - P&amp;L Program Detail'!C$1)</f>
        <v>2767.0805010911008</v>
      </c>
      <c r="D37" s="389">
        <f>SUMIFS('8 - Detailed Expenses'!$E:$E,'8 - Detailed Expenses'!$G:$G,'6 - P&amp;L Program Detail'!$A37,'8 - Detailed Expenses'!$H:$H,'6 - P&amp;L Program Detail'!D$1)</f>
        <v>13056.623988236835</v>
      </c>
      <c r="E37" s="389">
        <f>SUMIFS('8 - Detailed Expenses'!$E:$E,'8 - Detailed Expenses'!$G:$G,'6 - P&amp;L Program Detail'!$A37,'8 - Detailed Expenses'!$H:$H,'6 - P&amp;L Program Detail'!E$1)</f>
        <v>2394.9275089579842</v>
      </c>
      <c r="F37" s="389">
        <f>SUMIFS('8 - Detailed Expenses'!$E:$E,'8 - Detailed Expenses'!$G:$G,'6 - P&amp;L Program Detail'!$A37,'8 - Detailed Expenses'!$H:$H,'6 - P&amp;L Program Detail'!F$1)</f>
        <v>0</v>
      </c>
      <c r="G37" s="389">
        <f>SUMIFS('8 - Detailed Expenses'!$E:$E,'8 - Detailed Expenses'!$G:$G,'6 - P&amp;L Program Detail'!$A37,'8 - Detailed Expenses'!$H:$H,'6 - P&amp;L Program Detail'!G$1)</f>
        <v>0</v>
      </c>
      <c r="H37" s="389">
        <f>SUMIFS('8 - Detailed Expenses'!$E:$E,'8 - Detailed Expenses'!$G:$G,'6 - P&amp;L Program Detail'!$A37,'8 - Detailed Expenses'!$H:$H,'6 - P&amp;L Program Detail'!H$1)</f>
        <v>0</v>
      </c>
      <c r="I37" s="389">
        <f>SUMIFS('8 - Detailed Expenses'!$E:$E,'8 - Detailed Expenses'!$G:$G,'6 - P&amp;L Program Detail'!$A37,'8 - Detailed Expenses'!$H:$H,'6 - P&amp;L Program Detail'!I$1)</f>
        <v>9.9758648431214798</v>
      </c>
      <c r="J37" s="389">
        <f>SUMIFS('8 - Detailed Expenses'!$E:$E,'8 - Detailed Expenses'!$G:$G,'6 - P&amp;L Program Detail'!$A37,'8 - Detailed Expenses'!$H:$H,'6 - P&amp;L Program Detail'!J$1)</f>
        <v>0</v>
      </c>
      <c r="K37" s="391">
        <f t="shared" si="3"/>
        <v>19421.859691846093</v>
      </c>
      <c r="L37" s="42">
        <f t="shared" si="2"/>
        <v>5.7028155958559347E-2</v>
      </c>
    </row>
    <row r="38" spans="1:255" ht="14">
      <c r="A38" s="4" t="s">
        <v>1064</v>
      </c>
      <c r="B38" s="389">
        <f>SUMIFS('8 - Detailed Expenses'!$E:$E,'8 - Detailed Expenses'!$G:$G,'6 - P&amp;L Program Detail'!$A38,'8 - Detailed Expenses'!$H:$H,'6 - P&amp;L Program Detail'!B$1)</f>
        <v>0</v>
      </c>
      <c r="C38" s="389">
        <f>SUMIFS('8 - Detailed Expenses'!$E:$E,'8 - Detailed Expenses'!$G:$G,'6 - P&amp;L Program Detail'!$A38,'8 - Detailed Expenses'!$H:$H,'6 - P&amp;L Program Detail'!C$1)</f>
        <v>0</v>
      </c>
      <c r="D38" s="389">
        <f>SUMIFS('8 - Detailed Expenses'!$E:$E,'8 - Detailed Expenses'!$G:$G,'6 - P&amp;L Program Detail'!$A38,'8 - Detailed Expenses'!$H:$H,'6 - P&amp;L Program Detail'!D$1)</f>
        <v>0</v>
      </c>
      <c r="E38" s="389">
        <f>SUMIFS('8 - Detailed Expenses'!$E:$E,'8 - Detailed Expenses'!$G:$G,'6 - P&amp;L Program Detail'!$A38,'8 - Detailed Expenses'!$H:$H,'6 - P&amp;L Program Detail'!E$1)</f>
        <v>0</v>
      </c>
      <c r="F38" s="389">
        <f>SUMIFS('8 - Detailed Expenses'!$E:$E,'8 - Detailed Expenses'!$G:$G,'6 - P&amp;L Program Detail'!$A38,'8 - Detailed Expenses'!$H:$H,'6 - P&amp;L Program Detail'!F$1)</f>
        <v>0</v>
      </c>
      <c r="G38" s="389">
        <f>SUMIFS('8 - Detailed Expenses'!$E:$E,'8 - Detailed Expenses'!$G:$G,'6 - P&amp;L Program Detail'!$A38,'8 - Detailed Expenses'!$H:$H,'6 - P&amp;L Program Detail'!G$1)</f>
        <v>0</v>
      </c>
      <c r="H38" s="389">
        <f>SUMIFS('8 - Detailed Expenses'!$E:$E,'8 - Detailed Expenses'!$G:$G,'6 - P&amp;L Program Detail'!$A38,'8 - Detailed Expenses'!$H:$H,'6 - P&amp;L Program Detail'!H$1)</f>
        <v>0</v>
      </c>
      <c r="I38" s="389">
        <f>SUMIFS('8 - Detailed Expenses'!$E:$E,'8 - Detailed Expenses'!$G:$G,'6 - P&amp;L Program Detail'!$A38,'8 - Detailed Expenses'!$H:$H,'6 - P&amp;L Program Detail'!I$1)</f>
        <v>0</v>
      </c>
      <c r="J38" s="389">
        <f>SUMIFS('8 - Detailed Expenses'!$E:$E,'8 - Detailed Expenses'!$G:$G,'6 - P&amp;L Program Detail'!$A38,'8 - Detailed Expenses'!$H:$H,'6 - P&amp;L Program Detail'!J$1)</f>
        <v>0</v>
      </c>
      <c r="K38" s="391">
        <f t="shared" si="3"/>
        <v>0</v>
      </c>
      <c r="L38" s="42">
        <f t="shared" si="2"/>
        <v>0</v>
      </c>
    </row>
    <row r="39" spans="1:255" s="10" customFormat="1" ht="12">
      <c r="A39" s="4" t="s">
        <v>106</v>
      </c>
      <c r="B39" s="389">
        <f>SUMIFS('8 - Detailed Expenses'!$E:$E,'8 - Detailed Expenses'!$G:$G,'6 - P&amp;L Program Detail'!$A39,'8 - Detailed Expenses'!$H:$H,'6 - P&amp;L Program Detail'!B$1)</f>
        <v>39.822233549435325</v>
      </c>
      <c r="C39" s="389">
        <f>SUMIFS('8 - Detailed Expenses'!$E:$E,'8 - Detailed Expenses'!$G:$G,'6 - P&amp;L Program Detail'!$A39,'8 - Detailed Expenses'!$H:$H,'6 - P&amp;L Program Detail'!C$1)</f>
        <v>11669.550870347235</v>
      </c>
      <c r="D39" s="389">
        <f>SUMIFS('8 - Detailed Expenses'!$E:$E,'8 - Detailed Expenses'!$G:$G,'6 - P&amp;L Program Detail'!$A39,'8 - Detailed Expenses'!$H:$H,'6 - P&amp;L Program Detail'!D$1)</f>
        <v>1768.9540384789836</v>
      </c>
      <c r="E39" s="389">
        <f>SUMIFS('8 - Detailed Expenses'!$E:$E,'8 - Detailed Expenses'!$G:$G,'6 - P&amp;L Program Detail'!$A39,'8 - Detailed Expenses'!$H:$H,'6 - P&amp;L Program Detail'!E$1)</f>
        <v>363.21912116314456</v>
      </c>
      <c r="F39" s="389">
        <f>SUMIFS('8 - Detailed Expenses'!$E:$E,'8 - Detailed Expenses'!$G:$G,'6 - P&amp;L Program Detail'!$A39,'8 - Detailed Expenses'!$H:$H,'6 - P&amp;L Program Detail'!F$1)</f>
        <v>0</v>
      </c>
      <c r="G39" s="389">
        <f>SUMIFS('8 - Detailed Expenses'!$E:$E,'8 - Detailed Expenses'!$G:$G,'6 - P&amp;L Program Detail'!$A39,'8 - Detailed Expenses'!$H:$H,'6 - P&amp;L Program Detail'!G$1)</f>
        <v>0</v>
      </c>
      <c r="H39" s="389">
        <f>SUMIFS('8 - Detailed Expenses'!$E:$E,'8 - Detailed Expenses'!$G:$G,'6 - P&amp;L Program Detail'!$A39,'8 - Detailed Expenses'!$H:$H,'6 - P&amp;L Program Detail'!H$1)</f>
        <v>0</v>
      </c>
      <c r="I39" s="389">
        <f>SUMIFS('8 - Detailed Expenses'!$E:$E,'8 - Detailed Expenses'!$G:$G,'6 - P&amp;L Program Detail'!$A39,'8 - Detailed Expenses'!$H:$H,'6 - P&amp;L Program Detail'!I$1)</f>
        <v>0</v>
      </c>
      <c r="J39" s="389">
        <f>SUMIFS('8 - Detailed Expenses'!$E:$E,'8 - Detailed Expenses'!$G:$G,'6 - P&amp;L Program Detail'!$A39,'8 - Detailed Expenses'!$H:$H,'6 - P&amp;L Program Detail'!J$1)</f>
        <v>0</v>
      </c>
      <c r="K39" s="391">
        <f t="shared" si="3"/>
        <v>13841.546263538799</v>
      </c>
      <c r="L39" s="42">
        <f t="shared" si="2"/>
        <v>4.0642753657421503E-2</v>
      </c>
    </row>
    <row r="40" spans="1:255" ht="14">
      <c r="A40" s="4" t="s">
        <v>1065</v>
      </c>
      <c r="B40" s="389">
        <f>SUMIFS('8 - Detailed Expenses'!$E:$E,'8 - Detailed Expenses'!$G:$G,'6 - P&amp;L Program Detail'!$A40,'8 - Detailed Expenses'!$H:$H,'6 - P&amp;L Program Detail'!B$1)</f>
        <v>0</v>
      </c>
      <c r="C40" s="389">
        <f>SUMIFS('8 - Detailed Expenses'!$E:$E,'8 - Detailed Expenses'!$G:$G,'6 - P&amp;L Program Detail'!$A40,'8 - Detailed Expenses'!$H:$H,'6 - P&amp;L Program Detail'!C$1)</f>
        <v>0</v>
      </c>
      <c r="D40" s="389">
        <f>SUMIFS('8 - Detailed Expenses'!$E:$E,'8 - Detailed Expenses'!$G:$G,'6 - P&amp;L Program Detail'!$A40,'8 - Detailed Expenses'!$H:$H,'6 - P&amp;L Program Detail'!D$1)</f>
        <v>0</v>
      </c>
      <c r="E40" s="389">
        <f>SUMIFS('8 - Detailed Expenses'!$E:$E,'8 - Detailed Expenses'!$G:$G,'6 - P&amp;L Program Detail'!$A40,'8 - Detailed Expenses'!$H:$H,'6 - P&amp;L Program Detail'!E$1)</f>
        <v>0</v>
      </c>
      <c r="F40" s="389">
        <f>SUMIFS('8 - Detailed Expenses'!$E:$E,'8 - Detailed Expenses'!$G:$G,'6 - P&amp;L Program Detail'!$A40,'8 - Detailed Expenses'!$H:$H,'6 - P&amp;L Program Detail'!F$1)</f>
        <v>0</v>
      </c>
      <c r="G40" s="389">
        <f>SUMIFS('8 - Detailed Expenses'!$E:$E,'8 - Detailed Expenses'!$G:$G,'6 - P&amp;L Program Detail'!$A40,'8 - Detailed Expenses'!$H:$H,'6 - P&amp;L Program Detail'!G$1)</f>
        <v>0</v>
      </c>
      <c r="H40" s="389">
        <f>SUMIFS('8 - Detailed Expenses'!$E:$E,'8 - Detailed Expenses'!$G:$G,'6 - P&amp;L Program Detail'!$A40,'8 - Detailed Expenses'!$H:$H,'6 - P&amp;L Program Detail'!H$1)</f>
        <v>0</v>
      </c>
      <c r="I40" s="389">
        <f>SUMIFS('8 - Detailed Expenses'!$E:$E,'8 - Detailed Expenses'!$G:$G,'6 - P&amp;L Program Detail'!$A40,'8 - Detailed Expenses'!$H:$H,'6 - P&amp;L Program Detail'!I$1)</f>
        <v>0</v>
      </c>
      <c r="J40" s="389">
        <f>SUMIFS('8 - Detailed Expenses'!$E:$E,'8 - Detailed Expenses'!$G:$G,'6 - P&amp;L Program Detail'!$A40,'8 - Detailed Expenses'!$H:$H,'6 - P&amp;L Program Detail'!J$1)</f>
        <v>0</v>
      </c>
      <c r="K40" s="391">
        <f t="shared" si="3"/>
        <v>0</v>
      </c>
      <c r="L40" s="42">
        <f t="shared" si="2"/>
        <v>0</v>
      </c>
    </row>
    <row r="41" spans="1:255" ht="14">
      <c r="A41" s="4" t="s">
        <v>133</v>
      </c>
      <c r="B41" s="389">
        <f>SUMIFS('8 - Detailed Expenses'!$E:$E,'8 - Detailed Expenses'!$G:$G,'6 - P&amp;L Program Detail'!$A41,'8 - Detailed Expenses'!$H:$H,'6 - P&amp;L Program Detail'!B$1)</f>
        <v>0</v>
      </c>
      <c r="C41" s="389">
        <f>SUMIFS('8 - Detailed Expenses'!$E:$E,'8 - Detailed Expenses'!$G:$G,'6 - P&amp;L Program Detail'!$A41,'8 - Detailed Expenses'!$H:$H,'6 - P&amp;L Program Detail'!C$1)</f>
        <v>0</v>
      </c>
      <c r="D41" s="389">
        <f>SUMIFS('8 - Detailed Expenses'!$E:$E,'8 - Detailed Expenses'!$G:$G,'6 - P&amp;L Program Detail'!$A41,'8 - Detailed Expenses'!$H:$H,'6 - P&amp;L Program Detail'!D$1)</f>
        <v>0</v>
      </c>
      <c r="E41" s="389">
        <f>SUMIFS('8 - Detailed Expenses'!$E:$E,'8 - Detailed Expenses'!$G:$G,'6 - P&amp;L Program Detail'!$A41,'8 - Detailed Expenses'!$H:$H,'6 - P&amp;L Program Detail'!E$1)</f>
        <v>0</v>
      </c>
      <c r="F41" s="389">
        <f>SUMIFS('8 - Detailed Expenses'!$E:$E,'8 - Detailed Expenses'!$G:$G,'6 - P&amp;L Program Detail'!$A41,'8 - Detailed Expenses'!$H:$H,'6 - P&amp;L Program Detail'!F$1)</f>
        <v>14500</v>
      </c>
      <c r="G41" s="389">
        <f>SUMIFS('8 - Detailed Expenses'!$E:$E,'8 - Detailed Expenses'!$G:$G,'6 - P&amp;L Program Detail'!$A41,'8 - Detailed Expenses'!$H:$H,'6 - P&amp;L Program Detail'!G$1)</f>
        <v>0</v>
      </c>
      <c r="H41" s="389">
        <f>SUMIFS('8 - Detailed Expenses'!$E:$E,'8 - Detailed Expenses'!$G:$G,'6 - P&amp;L Program Detail'!$A41,'8 - Detailed Expenses'!$H:$H,'6 - P&amp;L Program Detail'!H$1)</f>
        <v>0</v>
      </c>
      <c r="I41" s="389">
        <f>SUMIFS('8 - Detailed Expenses'!$E:$E,'8 - Detailed Expenses'!$G:$G,'6 - P&amp;L Program Detail'!$A41,'8 - Detailed Expenses'!$H:$H,'6 - P&amp;L Program Detail'!I$1)</f>
        <v>0</v>
      </c>
      <c r="J41" s="389">
        <f>SUMIFS('8 - Detailed Expenses'!$E:$E,'8 - Detailed Expenses'!$G:$G,'6 - P&amp;L Program Detail'!$A41,'8 - Detailed Expenses'!$H:$H,'6 - P&amp;L Program Detail'!J$1)</f>
        <v>0</v>
      </c>
      <c r="K41" s="391">
        <f t="shared" si="3"/>
        <v>14500</v>
      </c>
      <c r="L41" s="42">
        <f t="shared" si="2"/>
        <v>4.2576162865921259E-2</v>
      </c>
    </row>
    <row r="42" spans="1:255" ht="14">
      <c r="A42" s="4" t="s">
        <v>1066</v>
      </c>
      <c r="B42" s="389">
        <f>SUMIFS('8 - Detailed Expenses'!$E:$E,'8 - Detailed Expenses'!$G:$G,'6 - P&amp;L Program Detail'!$A42,'8 - Detailed Expenses'!$H:$H,'6 - P&amp;L Program Detail'!B$1)</f>
        <v>0</v>
      </c>
      <c r="C42" s="389">
        <f>SUMIFS('8 - Detailed Expenses'!$E:$E,'8 - Detailed Expenses'!$G:$G,'6 - P&amp;L Program Detail'!$A42,'8 - Detailed Expenses'!$H:$H,'6 - P&amp;L Program Detail'!C$1)</f>
        <v>0</v>
      </c>
      <c r="D42" s="389">
        <f>SUMIFS('8 - Detailed Expenses'!$E:$E,'8 - Detailed Expenses'!$G:$G,'6 - P&amp;L Program Detail'!$A42,'8 - Detailed Expenses'!$H:$H,'6 - P&amp;L Program Detail'!D$1)</f>
        <v>0</v>
      </c>
      <c r="E42" s="389">
        <f>SUMIFS('8 - Detailed Expenses'!$E:$E,'8 - Detailed Expenses'!$G:$G,'6 - P&amp;L Program Detail'!$A42,'8 - Detailed Expenses'!$H:$H,'6 - P&amp;L Program Detail'!E$1)</f>
        <v>0</v>
      </c>
      <c r="F42" s="389">
        <f>SUMIFS('8 - Detailed Expenses'!$E:$E,'8 - Detailed Expenses'!$G:$G,'6 - P&amp;L Program Detail'!$A42,'8 - Detailed Expenses'!$H:$H,'6 - P&amp;L Program Detail'!F$1)</f>
        <v>0</v>
      </c>
      <c r="G42" s="389">
        <f>SUMIFS('8 - Detailed Expenses'!$E:$E,'8 - Detailed Expenses'!$G:$G,'6 - P&amp;L Program Detail'!$A42,'8 - Detailed Expenses'!$H:$H,'6 - P&amp;L Program Detail'!G$1)</f>
        <v>0</v>
      </c>
      <c r="H42" s="389">
        <f>SUMIFS('8 - Detailed Expenses'!$E:$E,'8 - Detailed Expenses'!$G:$G,'6 - P&amp;L Program Detail'!$A42,'8 - Detailed Expenses'!$H:$H,'6 - P&amp;L Program Detail'!H$1)</f>
        <v>0</v>
      </c>
      <c r="I42" s="389">
        <f>SUMIFS('8 - Detailed Expenses'!$E:$E,'8 - Detailed Expenses'!$G:$G,'6 - P&amp;L Program Detail'!$A42,'8 - Detailed Expenses'!$H:$H,'6 - P&amp;L Program Detail'!I$1)</f>
        <v>0</v>
      </c>
      <c r="J42" s="389">
        <f>SUMIFS('8 - Detailed Expenses'!$E:$E,'8 - Detailed Expenses'!$G:$G,'6 - P&amp;L Program Detail'!$A42,'8 - Detailed Expenses'!$H:$H,'6 - P&amp;L Program Detail'!J$1)</f>
        <v>0</v>
      </c>
      <c r="K42" s="391">
        <f t="shared" si="3"/>
        <v>0</v>
      </c>
      <c r="L42" s="42">
        <f t="shared" si="2"/>
        <v>0</v>
      </c>
    </row>
    <row r="43" spans="1:255" ht="14">
      <c r="A43" s="4" t="s">
        <v>112</v>
      </c>
      <c r="B43" s="389">
        <f>SUMIFS('8 - Detailed Expenses'!$E:$E,'8 - Detailed Expenses'!$G:$G,'6 - P&amp;L Program Detail'!$A43,'8 - Detailed Expenses'!$H:$H,'6 - P&amp;L Program Detail'!B$1)</f>
        <v>0</v>
      </c>
      <c r="C43" s="389">
        <f>SUMIFS('8 - Detailed Expenses'!$E:$E,'8 - Detailed Expenses'!$G:$G,'6 - P&amp;L Program Detail'!$A43,'8 - Detailed Expenses'!$H:$H,'6 - P&amp;L Program Detail'!C$1)</f>
        <v>0</v>
      </c>
      <c r="D43" s="389">
        <f>SUMIFS('8 - Detailed Expenses'!$E:$E,'8 - Detailed Expenses'!$G:$G,'6 - P&amp;L Program Detail'!$A43,'8 - Detailed Expenses'!$H:$H,'6 - P&amp;L Program Detail'!D$1)</f>
        <v>2861.661656340355</v>
      </c>
      <c r="E43" s="389">
        <f>SUMIFS('8 - Detailed Expenses'!$E:$E,'8 - Detailed Expenses'!$G:$G,'6 - P&amp;L Program Detail'!$A43,'8 - Detailed Expenses'!$H:$H,'6 - P&amp;L Program Detail'!E$1)</f>
        <v>0</v>
      </c>
      <c r="F43" s="389">
        <f>SUMIFS('8 - Detailed Expenses'!$E:$E,'8 - Detailed Expenses'!$G:$G,'6 - P&amp;L Program Detail'!$A43,'8 - Detailed Expenses'!$H:$H,'6 - P&amp;L Program Detail'!F$1)</f>
        <v>0</v>
      </c>
      <c r="G43" s="389">
        <f>SUMIFS('8 - Detailed Expenses'!$E:$E,'8 - Detailed Expenses'!$G:$G,'6 - P&amp;L Program Detail'!$A43,'8 - Detailed Expenses'!$H:$H,'6 - P&amp;L Program Detail'!G$1)</f>
        <v>0</v>
      </c>
      <c r="H43" s="389">
        <f>SUMIFS('8 - Detailed Expenses'!$E:$E,'8 - Detailed Expenses'!$G:$G,'6 - P&amp;L Program Detail'!$A43,'8 - Detailed Expenses'!$H:$H,'6 - P&amp;L Program Detail'!H$1)</f>
        <v>0</v>
      </c>
      <c r="I43" s="389">
        <f>SUMIFS('8 - Detailed Expenses'!$E:$E,'8 - Detailed Expenses'!$G:$G,'6 - P&amp;L Program Detail'!$A43,'8 - Detailed Expenses'!$H:$H,'6 - P&amp;L Program Detail'!I$1)</f>
        <v>0</v>
      </c>
      <c r="J43" s="389">
        <f>SUMIFS('8 - Detailed Expenses'!$E:$E,'8 - Detailed Expenses'!$G:$G,'6 - P&amp;L Program Detail'!$A43,'8 - Detailed Expenses'!$H:$H,'6 - P&amp;L Program Detail'!J$1)</f>
        <v>0</v>
      </c>
      <c r="K43" s="391">
        <f t="shared" si="3"/>
        <v>2861.661656340355</v>
      </c>
      <c r="L43" s="42">
        <f t="shared" si="2"/>
        <v>8.4026601894833745E-3</v>
      </c>
    </row>
    <row r="44" spans="1:255" s="10" customFormat="1" ht="12">
      <c r="A44" s="422" t="s">
        <v>1083</v>
      </c>
      <c r="B44" s="389">
        <f>SUMIFS('8 - Detailed Expenses'!$E:$E,'8 - Detailed Expenses'!$G:$G,'6 - P&amp;L Program Detail'!$A44,'8 - Detailed Expenses'!$H:$H,'6 - P&amp;L Program Detail'!B$1)</f>
        <v>509.51173004719402</v>
      </c>
      <c r="C44" s="389">
        <f>SUMIFS('8 - Detailed Expenses'!$E:$E,'8 - Detailed Expenses'!$G:$G,'6 - P&amp;L Program Detail'!$A44,'8 - Detailed Expenses'!$H:$H,'6 - P&amp;L Program Detail'!C$1)</f>
        <v>0</v>
      </c>
      <c r="D44" s="389">
        <f>SUMIFS('8 - Detailed Expenses'!$E:$E,'8 - Detailed Expenses'!$G:$G,'6 - P&amp;L Program Detail'!$A44,'8 - Detailed Expenses'!$H:$H,'6 - P&amp;L Program Detail'!D$1)</f>
        <v>2257.6152363499418</v>
      </c>
      <c r="E44" s="389">
        <f>SUMIFS('8 - Detailed Expenses'!$E:$E,'8 - Detailed Expenses'!$G:$G,'6 - P&amp;L Program Detail'!$A44,'8 - Detailed Expenses'!$H:$H,'6 - P&amp;L Program Detail'!E$1)</f>
        <v>0</v>
      </c>
      <c r="F44" s="389">
        <f>SUMIFS('8 - Detailed Expenses'!$E:$E,'8 - Detailed Expenses'!$G:$G,'6 - P&amp;L Program Detail'!$A44,'8 - Detailed Expenses'!$H:$H,'6 - P&amp;L Program Detail'!F$1)</f>
        <v>0</v>
      </c>
      <c r="G44" s="389">
        <f>SUMIFS('8 - Detailed Expenses'!$E:$E,'8 - Detailed Expenses'!$G:$G,'6 - P&amp;L Program Detail'!$A44,'8 - Detailed Expenses'!$H:$H,'6 - P&amp;L Program Detail'!G$1)</f>
        <v>0</v>
      </c>
      <c r="H44" s="389">
        <f>SUMIFS('8 - Detailed Expenses'!$E:$E,'8 - Detailed Expenses'!$G:$G,'6 - P&amp;L Program Detail'!$A44,'8 - Detailed Expenses'!$H:$H,'6 - P&amp;L Program Detail'!H$1)</f>
        <v>0</v>
      </c>
      <c r="I44" s="389">
        <f>SUMIFS('8 - Detailed Expenses'!$E:$E,'8 - Detailed Expenses'!$G:$G,'6 - P&amp;L Program Detail'!$A44,'8 - Detailed Expenses'!$H:$H,'6 - P&amp;L Program Detail'!I$1)</f>
        <v>2099.5237329042639</v>
      </c>
      <c r="J44" s="389">
        <f>SUMIFS('8 - Detailed Expenses'!$E:$E,'8 - Detailed Expenses'!$G:$G,'6 - P&amp;L Program Detail'!$A44,'8 - Detailed Expenses'!$H:$H,'6 - P&amp;L Program Detail'!J$1)</f>
        <v>0</v>
      </c>
      <c r="K44" s="391">
        <f t="shared" si="3"/>
        <v>4866.6506993013991</v>
      </c>
      <c r="L44" s="42">
        <f t="shared" si="2"/>
        <v>1.4289883640345237E-2</v>
      </c>
    </row>
    <row r="45" spans="1:255" s="10" customFormat="1" ht="12">
      <c r="A45" s="422" t="s">
        <v>1084</v>
      </c>
      <c r="B45" s="389">
        <f>SUMIFS('8 - Detailed Expenses'!$E:$E,'8 - Detailed Expenses'!$G:$G,'6 - P&amp;L Program Detail'!$A45,'8 - Detailed Expenses'!$H:$H,'6 - P&amp;L Program Detail'!B$1)</f>
        <v>0</v>
      </c>
      <c r="C45" s="389">
        <f>SUMIFS('8 - Detailed Expenses'!$E:$E,'8 - Detailed Expenses'!$G:$G,'6 - P&amp;L Program Detail'!$A45,'8 - Detailed Expenses'!$H:$H,'6 - P&amp;L Program Detail'!C$1)</f>
        <v>0</v>
      </c>
      <c r="D45" s="389">
        <f>SUMIFS('8 - Detailed Expenses'!$E:$E,'8 - Detailed Expenses'!$G:$G,'6 - P&amp;L Program Detail'!$A45,'8 - Detailed Expenses'!$H:$H,'6 - P&amp;L Program Detail'!D$1)</f>
        <v>0</v>
      </c>
      <c r="E45" s="389">
        <f>SUMIFS('8 - Detailed Expenses'!$E:$E,'8 - Detailed Expenses'!$G:$G,'6 - P&amp;L Program Detail'!$A45,'8 - Detailed Expenses'!$H:$H,'6 - P&amp;L Program Detail'!E$1)</f>
        <v>0</v>
      </c>
      <c r="F45" s="389">
        <f>SUMIFS('8 - Detailed Expenses'!$E:$E,'8 - Detailed Expenses'!$G:$G,'6 - P&amp;L Program Detail'!$A45,'8 - Detailed Expenses'!$H:$H,'6 - P&amp;L Program Detail'!F$1)</f>
        <v>0</v>
      </c>
      <c r="G45" s="389">
        <f>SUMIFS('8 - Detailed Expenses'!$E:$E,'8 - Detailed Expenses'!$G:$G,'6 - P&amp;L Program Detail'!$A45,'8 - Detailed Expenses'!$H:$H,'6 - P&amp;L Program Detail'!G$1)</f>
        <v>0</v>
      </c>
      <c r="H45" s="389">
        <f>SUMIFS('8 - Detailed Expenses'!$E:$E,'8 - Detailed Expenses'!$G:$G,'6 - P&amp;L Program Detail'!$A45,'8 - Detailed Expenses'!$H:$H,'6 - P&amp;L Program Detail'!H$1)</f>
        <v>0</v>
      </c>
      <c r="I45" s="389">
        <f>SUMIFS('8 - Detailed Expenses'!$E:$E,'8 - Detailed Expenses'!$G:$G,'6 - P&amp;L Program Detail'!$A45,'8 - Detailed Expenses'!$H:$H,'6 - P&amp;L Program Detail'!I$1)</f>
        <v>0</v>
      </c>
      <c r="J45" s="389">
        <f>SUMIFS('8 - Detailed Expenses'!$E:$E,'8 - Detailed Expenses'!$G:$G,'6 - P&amp;L Program Detail'!$A45,'8 - Detailed Expenses'!$H:$H,'6 - P&amp;L Program Detail'!J$1)</f>
        <v>0</v>
      </c>
      <c r="K45" s="391">
        <f t="shared" si="3"/>
        <v>0</v>
      </c>
      <c r="L45" s="42">
        <f t="shared" si="2"/>
        <v>0</v>
      </c>
    </row>
    <row r="46" spans="1:255" s="10" customFormat="1" ht="12">
      <c r="A46" s="422" t="s">
        <v>1085</v>
      </c>
      <c r="B46" s="389">
        <f>SUMIFS('8 - Detailed Expenses'!$E:$E,'8 - Detailed Expenses'!$G:$G,'6 - P&amp;L Program Detail'!$A46,'8 - Detailed Expenses'!$H:$H,'6 - P&amp;L Program Detail'!B$1)</f>
        <v>0</v>
      </c>
      <c r="C46" s="389">
        <f>SUMIFS('8 - Detailed Expenses'!$E:$E,'8 - Detailed Expenses'!$G:$G,'6 - P&amp;L Program Detail'!$A46,'8 - Detailed Expenses'!$H:$H,'6 - P&amp;L Program Detail'!C$1)</f>
        <v>0</v>
      </c>
      <c r="D46" s="389">
        <f>SUMIFS('8 - Detailed Expenses'!$E:$E,'8 - Detailed Expenses'!$G:$G,'6 - P&amp;L Program Detail'!$A46,'8 - Detailed Expenses'!$H:$H,'6 - P&amp;L Program Detail'!D$1)</f>
        <v>0</v>
      </c>
      <c r="E46" s="389">
        <f>SUMIFS('8 - Detailed Expenses'!$E:$E,'8 - Detailed Expenses'!$G:$G,'6 - P&amp;L Program Detail'!$A46,'8 - Detailed Expenses'!$H:$H,'6 - P&amp;L Program Detail'!E$1)</f>
        <v>0</v>
      </c>
      <c r="F46" s="389">
        <f>SUMIFS('8 - Detailed Expenses'!$E:$E,'8 - Detailed Expenses'!$G:$G,'6 - P&amp;L Program Detail'!$A46,'8 - Detailed Expenses'!$H:$H,'6 - P&amp;L Program Detail'!F$1)</f>
        <v>0</v>
      </c>
      <c r="G46" s="389">
        <f>SUMIFS('8 - Detailed Expenses'!$E:$E,'8 - Detailed Expenses'!$G:$G,'6 - P&amp;L Program Detail'!$A46,'8 - Detailed Expenses'!$H:$H,'6 - P&amp;L Program Detail'!G$1)</f>
        <v>0</v>
      </c>
      <c r="H46" s="389">
        <f>SUMIFS('8 - Detailed Expenses'!$E:$E,'8 - Detailed Expenses'!$G:$G,'6 - P&amp;L Program Detail'!$A46,'8 - Detailed Expenses'!$H:$H,'6 - P&amp;L Program Detail'!H$1)</f>
        <v>0</v>
      </c>
      <c r="I46" s="389">
        <f>SUMIFS('8 - Detailed Expenses'!$E:$E,'8 - Detailed Expenses'!$G:$G,'6 - P&amp;L Program Detail'!$A46,'8 - Detailed Expenses'!$H:$H,'6 - P&amp;L Program Detail'!I$1)</f>
        <v>0</v>
      </c>
      <c r="J46" s="389">
        <f>SUMIFS('8 - Detailed Expenses'!$E:$E,'8 - Detailed Expenses'!$G:$G,'6 - P&amp;L Program Detail'!$A46,'8 - Detailed Expenses'!$H:$H,'6 - P&amp;L Program Detail'!J$1)</f>
        <v>0</v>
      </c>
      <c r="K46" s="391">
        <f t="shared" si="3"/>
        <v>0</v>
      </c>
      <c r="L46" s="42">
        <f t="shared" si="2"/>
        <v>0</v>
      </c>
    </row>
    <row r="47" spans="1:255" ht="14">
      <c r="A47" s="229"/>
      <c r="B47" s="398"/>
      <c r="C47" s="398"/>
      <c r="D47" s="393"/>
      <c r="E47" s="398"/>
      <c r="F47" s="398"/>
      <c r="G47" s="393"/>
      <c r="H47" s="393"/>
      <c r="I47" s="393"/>
      <c r="J47" s="389">
        <f>SUMIFS('8 - Detailed Expenses'!$E:$E,'8 - Detailed Expenses'!$G:$G,'6 - P&amp;L Program Detail'!$A47,'8 - Detailed Expenses'!$H:$H,'6 - P&amp;L Program Detail'!J$1)</f>
        <v>0</v>
      </c>
      <c r="K47" s="395"/>
      <c r="L47" s="42"/>
    </row>
    <row r="48" spans="1:255" s="144" customFormat="1" ht="15">
      <c r="A48" s="113" t="s">
        <v>278</v>
      </c>
      <c r="B48" s="399">
        <f>SUM(B15:B47)</f>
        <v>99096.120203527462</v>
      </c>
      <c r="C48" s="399">
        <f>SUM(C15:C47)</f>
        <v>61611.621633114024</v>
      </c>
      <c r="D48" s="399">
        <f t="shared" ref="D48:I48" si="4">SUM(D15:D46)</f>
        <v>122419.72047733293</v>
      </c>
      <c r="E48" s="399">
        <f t="shared" si="4"/>
        <v>2973.6108903758713</v>
      </c>
      <c r="F48" s="399">
        <f>SUM(F15:F46)</f>
        <v>43250</v>
      </c>
      <c r="G48" s="399">
        <f t="shared" si="4"/>
        <v>0</v>
      </c>
      <c r="H48" s="399">
        <f t="shared" si="4"/>
        <v>3845</v>
      </c>
      <c r="I48" s="399">
        <f t="shared" si="4"/>
        <v>7370.0798720245202</v>
      </c>
      <c r="J48" s="399"/>
      <c r="K48" s="400">
        <f>SUM(K15:K46)</f>
        <v>340566.15307637473</v>
      </c>
      <c r="L48" s="142">
        <f>K48/$K$48</f>
        <v>1</v>
      </c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43"/>
      <c r="DB48" s="143"/>
      <c r="DC48" s="143"/>
      <c r="DD48" s="143"/>
      <c r="DE48" s="143"/>
      <c r="DF48" s="143"/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3"/>
      <c r="DS48" s="143"/>
      <c r="DT48" s="143"/>
      <c r="DU48" s="143"/>
      <c r="DV48" s="143"/>
      <c r="DW48" s="143"/>
      <c r="DX48" s="143"/>
      <c r="DY48" s="143"/>
      <c r="DZ48" s="143"/>
      <c r="EA48" s="143"/>
      <c r="EB48" s="143"/>
      <c r="EC48" s="143"/>
      <c r="ED48" s="143"/>
      <c r="EE48" s="143"/>
      <c r="EF48" s="143"/>
      <c r="EG48" s="143"/>
      <c r="EH48" s="143"/>
      <c r="EI48" s="143"/>
      <c r="EJ48" s="143"/>
      <c r="EK48" s="143"/>
      <c r="EL48" s="143"/>
      <c r="EM48" s="143"/>
      <c r="EN48" s="143"/>
      <c r="EO48" s="143"/>
      <c r="EP48" s="143"/>
      <c r="EQ48" s="143"/>
      <c r="ER48" s="143"/>
      <c r="ES48" s="143"/>
      <c r="ET48" s="143"/>
      <c r="EU48" s="143"/>
      <c r="EV48" s="143"/>
      <c r="EW48" s="143"/>
      <c r="EX48" s="143"/>
      <c r="EY48" s="143"/>
      <c r="EZ48" s="143"/>
      <c r="FA48" s="143"/>
      <c r="FB48" s="143"/>
      <c r="FC48" s="143"/>
      <c r="FD48" s="143"/>
      <c r="FE48" s="143"/>
      <c r="FF48" s="143"/>
      <c r="FG48" s="143"/>
      <c r="FH48" s="143"/>
      <c r="FI48" s="143"/>
      <c r="FJ48" s="143"/>
      <c r="FK48" s="143"/>
      <c r="FL48" s="143"/>
      <c r="FM48" s="143"/>
      <c r="FN48" s="143"/>
      <c r="FO48" s="143"/>
      <c r="FP48" s="143"/>
      <c r="FQ48" s="143"/>
      <c r="FR48" s="143"/>
      <c r="FS48" s="143"/>
      <c r="FT48" s="143"/>
      <c r="FU48" s="143"/>
      <c r="FV48" s="143"/>
      <c r="FW48" s="143"/>
      <c r="FX48" s="143"/>
      <c r="FY48" s="143"/>
      <c r="FZ48" s="143"/>
      <c r="GA48" s="143"/>
      <c r="GB48" s="143"/>
      <c r="GC48" s="143"/>
      <c r="GD48" s="143"/>
      <c r="GE48" s="143"/>
      <c r="GF48" s="143"/>
      <c r="GG48" s="143"/>
      <c r="GH48" s="143"/>
      <c r="GI48" s="143"/>
      <c r="GJ48" s="143"/>
      <c r="GK48" s="143"/>
      <c r="GL48" s="143"/>
      <c r="GM48" s="143"/>
      <c r="GN48" s="143"/>
      <c r="GO48" s="143"/>
      <c r="GP48" s="143"/>
      <c r="GQ48" s="143"/>
      <c r="GR48" s="143"/>
      <c r="GS48" s="143"/>
      <c r="GT48" s="143"/>
      <c r="GU48" s="143"/>
      <c r="GV48" s="143"/>
      <c r="GW48" s="143"/>
      <c r="GX48" s="143"/>
      <c r="GY48" s="143"/>
      <c r="GZ48" s="143"/>
      <c r="HA48" s="143"/>
      <c r="HB48" s="143"/>
      <c r="HC48" s="143"/>
      <c r="HD48" s="143"/>
      <c r="HE48" s="143"/>
      <c r="HF48" s="143"/>
      <c r="HG48" s="143"/>
      <c r="HH48" s="143"/>
      <c r="HI48" s="143"/>
      <c r="HJ48" s="143"/>
      <c r="HK48" s="143"/>
      <c r="HL48" s="143"/>
      <c r="HM48" s="143"/>
      <c r="HN48" s="143"/>
      <c r="HO48" s="143"/>
      <c r="HP48" s="143"/>
      <c r="HQ48" s="143"/>
      <c r="HR48" s="143"/>
      <c r="HS48" s="143"/>
      <c r="HT48" s="143"/>
      <c r="HU48" s="143"/>
      <c r="HV48" s="143"/>
      <c r="HW48" s="143"/>
      <c r="HX48" s="143"/>
      <c r="HY48" s="143"/>
      <c r="HZ48" s="143"/>
      <c r="IA48" s="143"/>
      <c r="IB48" s="143"/>
      <c r="IC48" s="143"/>
      <c r="ID48" s="143"/>
      <c r="IE48" s="143"/>
      <c r="IF48" s="143"/>
      <c r="IG48" s="143"/>
      <c r="IH48" s="143"/>
      <c r="II48" s="143"/>
      <c r="IJ48" s="143"/>
      <c r="IK48" s="143"/>
      <c r="IL48" s="143"/>
      <c r="IM48" s="143"/>
      <c r="IN48" s="143"/>
      <c r="IO48" s="143"/>
      <c r="IP48" s="143"/>
      <c r="IQ48" s="143"/>
      <c r="IR48" s="143"/>
      <c r="IS48" s="143"/>
      <c r="IT48" s="143"/>
      <c r="IU48" s="143"/>
    </row>
    <row r="49" spans="1:255" s="95" customFormat="1" ht="14">
      <c r="A49" s="42"/>
      <c r="B49" s="393">
        <f>B48/$K$48</f>
        <v>0.29097465883905482</v>
      </c>
      <c r="C49" s="393"/>
      <c r="D49" s="393">
        <f>D48/$K$48</f>
        <v>0.35945944531334362</v>
      </c>
      <c r="E49" s="393">
        <f>E48/$K$48</f>
        <v>8.7313752805876013E-3</v>
      </c>
      <c r="F49" s="393"/>
      <c r="G49" s="393">
        <f>G48/$K$48</f>
        <v>0</v>
      </c>
      <c r="H49" s="393">
        <f>H48/$K$48</f>
        <v>1.1290023877204637E-2</v>
      </c>
      <c r="I49" s="393">
        <f>I48/$K$48</f>
        <v>2.1640670411459589E-2</v>
      </c>
      <c r="J49" s="393"/>
      <c r="K49" s="395">
        <f>K48/$K$48</f>
        <v>1</v>
      </c>
      <c r="L49" s="42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</row>
    <row r="50" spans="1:255" ht="14">
      <c r="A50" s="11"/>
      <c r="B50" s="392"/>
      <c r="C50" s="392"/>
      <c r="D50" s="392"/>
      <c r="E50" s="392"/>
      <c r="F50" s="392"/>
      <c r="G50" s="392"/>
      <c r="I50" s="392"/>
      <c r="J50" s="392"/>
      <c r="K50" s="395"/>
      <c r="L50" s="42"/>
    </row>
    <row r="51" spans="1:255" s="117" customFormat="1" ht="15">
      <c r="A51" s="114" t="s">
        <v>388</v>
      </c>
      <c r="B51" s="401">
        <f t="shared" ref="B51:I51" si="5">B11-B48</f>
        <v>902.87979647253815</v>
      </c>
      <c r="C51" s="401">
        <f t="shared" si="5"/>
        <v>-61611.621633114024</v>
      </c>
      <c r="D51" s="401">
        <f t="shared" si="5"/>
        <v>43580.279522667071</v>
      </c>
      <c r="E51" s="401">
        <f t="shared" si="5"/>
        <v>23116.376718770167</v>
      </c>
      <c r="F51" s="401">
        <f t="shared" si="5"/>
        <v>-43250</v>
      </c>
      <c r="G51" s="401">
        <f t="shared" si="5"/>
        <v>0</v>
      </c>
      <c r="H51" s="401">
        <f t="shared" si="5"/>
        <v>-3845</v>
      </c>
      <c r="I51" s="401">
        <f t="shared" si="5"/>
        <v>-7370.0798720245202</v>
      </c>
      <c r="J51" s="401"/>
      <c r="K51" s="402">
        <f>K11-K48</f>
        <v>-48290.334023560921</v>
      </c>
      <c r="L51" s="115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116"/>
      <c r="GU51" s="116"/>
      <c r="GV51" s="116"/>
      <c r="GW51" s="116"/>
      <c r="GX51" s="116"/>
      <c r="GY51" s="116"/>
      <c r="GZ51" s="116"/>
      <c r="HA51" s="116"/>
      <c r="HB51" s="116"/>
      <c r="HC51" s="116"/>
      <c r="HD51" s="116"/>
      <c r="HE51" s="116"/>
      <c r="HF51" s="116"/>
      <c r="HG51" s="116"/>
      <c r="HH51" s="116"/>
      <c r="HI51" s="116"/>
      <c r="HJ51" s="116"/>
      <c r="HK51" s="116"/>
      <c r="HL51" s="116"/>
      <c r="HM51" s="116"/>
      <c r="HN51" s="116"/>
      <c r="HO51" s="116"/>
      <c r="HP51" s="116"/>
      <c r="HQ51" s="116"/>
      <c r="HR51" s="116"/>
      <c r="HS51" s="116"/>
      <c r="HT51" s="116"/>
      <c r="HU51" s="116"/>
      <c r="HV51" s="116"/>
      <c r="HW51" s="116"/>
      <c r="HX51" s="116"/>
      <c r="HY51" s="116"/>
      <c r="HZ51" s="116"/>
      <c r="IA51" s="116"/>
      <c r="IB51" s="116"/>
      <c r="IC51" s="116"/>
      <c r="ID51" s="116"/>
      <c r="IE51" s="116"/>
      <c r="IF51" s="116"/>
      <c r="IG51" s="116"/>
      <c r="IH51" s="116"/>
      <c r="II51" s="116"/>
      <c r="IJ51" s="116"/>
      <c r="IK51" s="116"/>
      <c r="IL51" s="116"/>
      <c r="IM51" s="116"/>
      <c r="IN51" s="116"/>
      <c r="IO51" s="116"/>
      <c r="IP51" s="116"/>
      <c r="IQ51" s="116"/>
      <c r="IR51" s="116"/>
      <c r="IS51" s="116"/>
      <c r="IT51" s="116"/>
      <c r="IU51" s="116"/>
    </row>
    <row r="52" spans="1:255" ht="14">
      <c r="A52" s="11"/>
      <c r="B52" s="392"/>
      <c r="C52" s="392"/>
      <c r="D52" s="392"/>
      <c r="E52" s="392"/>
      <c r="F52" s="392"/>
      <c r="G52" s="392"/>
      <c r="I52" s="392"/>
      <c r="J52" s="392"/>
      <c r="K52" s="395"/>
      <c r="L52" s="42"/>
    </row>
    <row r="53" spans="1:255" ht="14">
      <c r="A53" s="11"/>
      <c r="B53" s="392"/>
      <c r="C53" s="392"/>
      <c r="D53" s="392"/>
      <c r="E53" s="392"/>
      <c r="F53" s="392"/>
      <c r="G53" s="392"/>
      <c r="I53" s="403"/>
      <c r="J53" s="403"/>
      <c r="K53" s="395"/>
      <c r="L53" s="42"/>
    </row>
    <row r="54" spans="1:255" ht="14">
      <c r="A54" s="11"/>
      <c r="B54" s="392"/>
      <c r="C54" s="392"/>
      <c r="D54" s="392"/>
      <c r="E54" s="392"/>
      <c r="F54" s="392"/>
      <c r="G54" s="392"/>
      <c r="I54" s="404"/>
      <c r="J54" s="404"/>
      <c r="K54" s="395"/>
      <c r="L54" s="42"/>
    </row>
    <row r="55" spans="1:255" ht="14">
      <c r="A55" s="11"/>
      <c r="B55" s="392"/>
      <c r="C55" s="392"/>
      <c r="D55" s="392"/>
      <c r="E55" s="392"/>
      <c r="F55" s="392"/>
      <c r="G55" s="392"/>
      <c r="I55" s="392"/>
      <c r="J55" s="392"/>
      <c r="K55" s="395"/>
      <c r="L55" s="42"/>
    </row>
  </sheetData>
  <phoneticPr fontId="51" type="noConversion"/>
  <printOptions gridLines="1"/>
  <pageMargins left="0.7" right="0.7" top="0.75" bottom="0.75" header="0.3" footer="0.3"/>
  <pageSetup scale="10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pageSetUpPr fitToPage="1"/>
  </sheetPr>
  <dimension ref="A1:I53"/>
  <sheetViews>
    <sheetView zoomScale="110" zoomScaleSheetLayoutView="100" workbookViewId="0">
      <selection activeCell="C30" sqref="C30"/>
    </sheetView>
  </sheetViews>
  <sheetFormatPr baseColWidth="10" defaultColWidth="8.83203125" defaultRowHeight="12" customHeight="1" x14ac:dyDescent="0"/>
  <cols>
    <col min="1" max="1" width="8.6640625" style="19" bestFit="1" customWidth="1"/>
    <col min="2" max="2" width="10.6640625" style="20" bestFit="1" customWidth="1"/>
    <col min="3" max="3" width="28.33203125" style="19" customWidth="1"/>
    <col min="4" max="4" width="17.1640625" style="19" customWidth="1"/>
    <col min="5" max="5" width="11.83203125" style="126" bestFit="1" customWidth="1"/>
    <col min="6" max="6" width="20.83203125" style="19" bestFit="1" customWidth="1"/>
    <col min="7" max="7" width="61.1640625" style="19" customWidth="1"/>
    <col min="8" max="8" width="28.83203125" style="19" customWidth="1"/>
    <col min="9" max="9" width="13.6640625" style="19" bestFit="1" customWidth="1"/>
    <col min="10" max="10" width="9" style="19" bestFit="1" customWidth="1"/>
    <col min="11" max="16384" width="8.83203125" style="19"/>
  </cols>
  <sheetData>
    <row r="1" spans="1:9" s="17" customFormat="1">
      <c r="A1" s="14" t="s">
        <v>496</v>
      </c>
      <c r="B1" s="15" t="s">
        <v>599</v>
      </c>
      <c r="C1" s="15" t="s">
        <v>598</v>
      </c>
      <c r="D1" s="39" t="s">
        <v>596</v>
      </c>
      <c r="E1" s="124" t="s">
        <v>597</v>
      </c>
      <c r="F1" s="16" t="s">
        <v>177</v>
      </c>
      <c r="G1" s="16" t="s">
        <v>497</v>
      </c>
      <c r="H1" s="16" t="s">
        <v>498</v>
      </c>
      <c r="I1" s="16" t="s">
        <v>499</v>
      </c>
    </row>
    <row r="2" spans="1:9" s="25" customFormat="1">
      <c r="B2" s="26">
        <v>41305</v>
      </c>
      <c r="C2" s="24" t="s">
        <v>1081</v>
      </c>
      <c r="D2" s="18">
        <v>10000</v>
      </c>
      <c r="E2" s="125">
        <f>D2/6.215</f>
        <v>1609.0104585679808</v>
      </c>
      <c r="F2" s="24" t="s">
        <v>500</v>
      </c>
      <c r="G2" s="40" t="s">
        <v>46</v>
      </c>
      <c r="H2" s="24" t="s">
        <v>50</v>
      </c>
      <c r="I2" s="25" t="s">
        <v>1113</v>
      </c>
    </row>
    <row r="3" spans="1:9" s="25" customFormat="1">
      <c r="A3" s="19"/>
      <c r="B3" s="26">
        <v>41310</v>
      </c>
      <c r="C3" s="19" t="s">
        <v>282</v>
      </c>
      <c r="D3" s="383"/>
      <c r="E3" s="126">
        <v>99999</v>
      </c>
      <c r="F3" s="19" t="s">
        <v>283</v>
      </c>
      <c r="G3" s="40" t="s">
        <v>46</v>
      </c>
      <c r="H3" s="19" t="s">
        <v>118</v>
      </c>
      <c r="I3" s="25" t="s">
        <v>21</v>
      </c>
    </row>
    <row r="4" spans="1:9" s="25" customFormat="1">
      <c r="A4" s="19"/>
      <c r="B4" s="26">
        <v>41312</v>
      </c>
      <c r="C4" s="19" t="s">
        <v>284</v>
      </c>
      <c r="D4" s="19"/>
      <c r="E4" s="126">
        <v>166000</v>
      </c>
      <c r="F4" s="19" t="s">
        <v>283</v>
      </c>
      <c r="G4" s="40" t="s">
        <v>46</v>
      </c>
      <c r="H4" s="19" t="s">
        <v>1071</v>
      </c>
      <c r="I4" s="25" t="s">
        <v>21</v>
      </c>
    </row>
    <row r="5" spans="1:9">
      <c r="A5" s="25"/>
      <c r="B5" s="26">
        <v>41333</v>
      </c>
      <c r="C5" s="24" t="s">
        <v>1081</v>
      </c>
      <c r="D5" s="71">
        <v>10000</v>
      </c>
      <c r="E5" s="125">
        <f>D5/6.2779</f>
        <v>1592.8893419774129</v>
      </c>
      <c r="F5" s="24" t="s">
        <v>500</v>
      </c>
      <c r="G5" s="40" t="s">
        <v>46</v>
      </c>
      <c r="H5" s="24" t="s">
        <v>50</v>
      </c>
      <c r="I5" s="25" t="s">
        <v>1113</v>
      </c>
    </row>
    <row r="6" spans="1:9">
      <c r="A6" s="25"/>
      <c r="B6" s="26">
        <v>41333</v>
      </c>
      <c r="C6" s="24" t="s">
        <v>1082</v>
      </c>
      <c r="D6" s="71"/>
      <c r="E6" s="125">
        <v>10.86</v>
      </c>
      <c r="F6" s="24"/>
      <c r="G6" s="21" t="s">
        <v>48</v>
      </c>
      <c r="H6" s="24" t="s">
        <v>50</v>
      </c>
      <c r="I6" s="25"/>
    </row>
    <row r="7" spans="1:9" s="25" customFormat="1">
      <c r="A7" s="19"/>
      <c r="B7" s="26">
        <v>41354</v>
      </c>
      <c r="C7" s="19" t="s">
        <v>1114</v>
      </c>
      <c r="D7" s="18">
        <v>419.04</v>
      </c>
      <c r="E7" s="125">
        <f>D7/6.2689</f>
        <v>66.844262948842697</v>
      </c>
      <c r="F7" s="19"/>
      <c r="G7" s="21" t="s">
        <v>48</v>
      </c>
      <c r="H7" s="24" t="s">
        <v>50</v>
      </c>
      <c r="I7" s="19"/>
    </row>
    <row r="8" spans="1:9">
      <c r="B8" s="26">
        <v>41354</v>
      </c>
      <c r="C8" s="19" t="s">
        <v>1114</v>
      </c>
      <c r="D8" s="18"/>
      <c r="E8" s="125">
        <v>4.57</v>
      </c>
      <c r="G8" s="21" t="s">
        <v>48</v>
      </c>
      <c r="H8" s="24" t="s">
        <v>50</v>
      </c>
    </row>
    <row r="9" spans="1:9">
      <c r="A9" s="25"/>
      <c r="B9" s="26">
        <v>41362</v>
      </c>
      <c r="C9" s="24" t="s">
        <v>1081</v>
      </c>
      <c r="D9" s="18">
        <v>10000</v>
      </c>
      <c r="E9" s="125">
        <f>D9/6.2689</f>
        <v>1595.1761872098773</v>
      </c>
      <c r="F9" s="24" t="s">
        <v>500</v>
      </c>
      <c r="G9" s="40" t="s">
        <v>46</v>
      </c>
      <c r="H9" s="24" t="s">
        <v>50</v>
      </c>
      <c r="I9" s="25" t="s">
        <v>1113</v>
      </c>
    </row>
    <row r="10" spans="1:9">
      <c r="B10" s="26">
        <v>41362</v>
      </c>
      <c r="C10" s="24" t="s">
        <v>1082</v>
      </c>
      <c r="D10" s="18"/>
      <c r="E10" s="125">
        <v>17.16</v>
      </c>
      <c r="G10" s="21" t="s">
        <v>48</v>
      </c>
      <c r="H10" s="24" t="s">
        <v>50</v>
      </c>
    </row>
    <row r="11" spans="1:9" s="25" customFormat="1">
      <c r="A11" s="19"/>
      <c r="B11" s="26">
        <v>41373</v>
      </c>
      <c r="C11" s="19" t="s">
        <v>1075</v>
      </c>
      <c r="D11" s="18">
        <v>820</v>
      </c>
      <c r="E11" s="126">
        <f>D11/6.2439</f>
        <v>131.32817630006886</v>
      </c>
      <c r="F11" s="19"/>
      <c r="G11" s="40" t="s">
        <v>46</v>
      </c>
      <c r="H11" s="24" t="s">
        <v>50</v>
      </c>
      <c r="I11" s="19"/>
    </row>
    <row r="12" spans="1:9">
      <c r="A12" s="25"/>
      <c r="B12" s="26">
        <v>41392</v>
      </c>
      <c r="C12" s="24" t="s">
        <v>1081</v>
      </c>
      <c r="D12" s="18">
        <v>10000</v>
      </c>
      <c r="E12" s="125">
        <v>1601.56</v>
      </c>
      <c r="F12" s="24" t="s">
        <v>500</v>
      </c>
      <c r="G12" s="40" t="s">
        <v>46</v>
      </c>
      <c r="H12" s="24" t="s">
        <v>50</v>
      </c>
      <c r="I12" s="25" t="s">
        <v>1113</v>
      </c>
    </row>
    <row r="13" spans="1:9" s="25" customFormat="1">
      <c r="B13" s="26">
        <v>41425</v>
      </c>
      <c r="C13" s="24" t="s">
        <v>1081</v>
      </c>
      <c r="D13" s="18">
        <v>10000</v>
      </c>
      <c r="E13" s="125">
        <f>D13/6.0525</f>
        <v>1652.2098306484922</v>
      </c>
      <c r="F13" s="24" t="s">
        <v>500</v>
      </c>
      <c r="G13" s="40" t="s">
        <v>46</v>
      </c>
      <c r="H13" s="24" t="s">
        <v>50</v>
      </c>
      <c r="I13" s="25" t="s">
        <v>1113</v>
      </c>
    </row>
    <row r="14" spans="1:9" s="25" customFormat="1">
      <c r="A14" s="19"/>
      <c r="B14" s="26">
        <v>41445</v>
      </c>
      <c r="C14" s="19" t="s">
        <v>1114</v>
      </c>
      <c r="D14" s="18">
        <v>222.02</v>
      </c>
      <c r="E14" s="125">
        <f>D14/6.0525</f>
        <v>36.682362660057827</v>
      </c>
      <c r="F14" s="19"/>
      <c r="G14" s="21" t="s">
        <v>48</v>
      </c>
      <c r="H14" s="24" t="s">
        <v>50</v>
      </c>
      <c r="I14" s="19"/>
    </row>
    <row r="15" spans="1:9">
      <c r="B15" s="26">
        <v>41445</v>
      </c>
      <c r="C15" s="19" t="s">
        <v>1114</v>
      </c>
      <c r="D15" s="18"/>
      <c r="E15" s="125">
        <v>3.6</v>
      </c>
      <c r="G15" s="21" t="s">
        <v>48</v>
      </c>
      <c r="H15" s="24" t="s">
        <v>50</v>
      </c>
    </row>
    <row r="16" spans="1:9">
      <c r="A16" s="25"/>
      <c r="B16" s="26">
        <v>41455</v>
      </c>
      <c r="C16" s="24" t="s">
        <v>1081</v>
      </c>
      <c r="D16" s="18">
        <v>10000</v>
      </c>
      <c r="E16" s="125">
        <f>D16/6.0525</f>
        <v>1652.2098306484922</v>
      </c>
      <c r="F16" s="24" t="s">
        <v>500</v>
      </c>
      <c r="G16" s="40" t="s">
        <v>46</v>
      </c>
      <c r="H16" s="24" t="s">
        <v>50</v>
      </c>
      <c r="I16" s="25" t="s">
        <v>1113</v>
      </c>
    </row>
    <row r="17" spans="1:9" s="25" customFormat="1">
      <c r="A17" s="19"/>
      <c r="B17" s="26">
        <v>41460</v>
      </c>
      <c r="C17" s="19" t="s">
        <v>1076</v>
      </c>
      <c r="D17" s="18">
        <v>2650</v>
      </c>
      <c r="E17" s="125">
        <f>D17/6.0506</f>
        <v>437.97309357749646</v>
      </c>
      <c r="F17" s="19"/>
      <c r="G17" s="40" t="s">
        <v>46</v>
      </c>
      <c r="H17" s="24" t="s">
        <v>50</v>
      </c>
      <c r="I17" s="19"/>
    </row>
    <row r="18" spans="1:9">
      <c r="B18" s="26">
        <v>41479</v>
      </c>
      <c r="C18" s="19" t="s">
        <v>1077</v>
      </c>
      <c r="D18" s="18">
        <v>1865</v>
      </c>
      <c r="E18" s="125">
        <f>D18/6.0506</f>
        <v>308.23389415925692</v>
      </c>
      <c r="G18" s="40" t="s">
        <v>46</v>
      </c>
      <c r="H18" s="24" t="s">
        <v>50</v>
      </c>
    </row>
    <row r="19" spans="1:9">
      <c r="A19" s="25"/>
      <c r="B19" s="26">
        <v>41486</v>
      </c>
      <c r="C19" s="24" t="s">
        <v>1081</v>
      </c>
      <c r="D19" s="71">
        <v>10000</v>
      </c>
      <c r="E19" s="125">
        <f>D19/6.0506</f>
        <v>1652.7286550094204</v>
      </c>
      <c r="F19" s="24" t="s">
        <v>500</v>
      </c>
      <c r="G19" s="40" t="s">
        <v>46</v>
      </c>
      <c r="H19" s="24" t="s">
        <v>50</v>
      </c>
      <c r="I19" s="25" t="s">
        <v>1113</v>
      </c>
    </row>
    <row r="20" spans="1:9">
      <c r="B20" s="26">
        <v>41507</v>
      </c>
      <c r="C20" s="19" t="s">
        <v>1114</v>
      </c>
      <c r="D20" s="71">
        <v>81.680000000000007</v>
      </c>
      <c r="E20" s="125">
        <f>D20/6.0406</f>
        <v>13.521835579247094</v>
      </c>
      <c r="G20" s="21" t="s">
        <v>48</v>
      </c>
      <c r="H20" s="24" t="s">
        <v>50</v>
      </c>
    </row>
    <row r="21" spans="1:9">
      <c r="B21" s="26">
        <v>41517</v>
      </c>
      <c r="C21" s="24" t="s">
        <v>1081</v>
      </c>
      <c r="D21" s="71">
        <v>10000</v>
      </c>
      <c r="E21" s="125">
        <f>D21/6.0406</f>
        <v>1655.4646889381847</v>
      </c>
      <c r="F21" s="24" t="s">
        <v>500</v>
      </c>
      <c r="G21" s="40" t="s">
        <v>46</v>
      </c>
      <c r="H21" s="24" t="s">
        <v>50</v>
      </c>
      <c r="I21" s="25" t="s">
        <v>1113</v>
      </c>
    </row>
    <row r="22" spans="1:9">
      <c r="B22" s="26">
        <v>41538</v>
      </c>
      <c r="C22" s="19" t="s">
        <v>1114</v>
      </c>
      <c r="D22" s="71">
        <v>112.47</v>
      </c>
      <c r="E22" s="125">
        <f>D22/6.0121</f>
        <v>18.707273664776036</v>
      </c>
      <c r="G22" s="21" t="s">
        <v>48</v>
      </c>
      <c r="H22" s="24" t="s">
        <v>50</v>
      </c>
    </row>
    <row r="23" spans="1:9">
      <c r="B23" s="26">
        <v>41538</v>
      </c>
      <c r="C23" s="19" t="s">
        <v>1114</v>
      </c>
      <c r="D23" s="71"/>
      <c r="E23" s="125">
        <v>1.71</v>
      </c>
      <c r="G23" s="21" t="s">
        <v>48</v>
      </c>
      <c r="H23" s="24" t="s">
        <v>50</v>
      </c>
    </row>
    <row r="24" spans="1:9">
      <c r="B24" s="26">
        <v>41541</v>
      </c>
      <c r="C24" s="19" t="s">
        <v>1078</v>
      </c>
      <c r="D24" s="18">
        <v>2450</v>
      </c>
      <c r="E24" s="125">
        <f>D24/6.0121</f>
        <v>407.51151843781707</v>
      </c>
      <c r="G24" s="40" t="s">
        <v>46</v>
      </c>
      <c r="H24" s="24" t="s">
        <v>50</v>
      </c>
    </row>
    <row r="25" spans="1:9">
      <c r="B25" s="26">
        <v>41547</v>
      </c>
      <c r="C25" s="24" t="s">
        <v>176</v>
      </c>
      <c r="D25" s="18">
        <v>10000</v>
      </c>
      <c r="E25" s="125">
        <f>D25/6.0121</f>
        <v>1663.3123201543553</v>
      </c>
      <c r="F25" s="24" t="s">
        <v>500</v>
      </c>
      <c r="G25" s="40" t="s">
        <v>46</v>
      </c>
      <c r="H25" s="24" t="s">
        <v>50</v>
      </c>
      <c r="I25" s="25" t="s">
        <v>1113</v>
      </c>
    </row>
    <row r="26" spans="1:9">
      <c r="B26" s="26">
        <v>41578</v>
      </c>
      <c r="C26" s="24" t="s">
        <v>176</v>
      </c>
      <c r="D26" s="18">
        <v>10000</v>
      </c>
      <c r="E26" s="125">
        <f>D26/6.0043</f>
        <v>1665.4730776277001</v>
      </c>
      <c r="F26" s="24" t="s">
        <v>500</v>
      </c>
      <c r="G26" s="40" t="s">
        <v>46</v>
      </c>
      <c r="H26" s="24" t="s">
        <v>50</v>
      </c>
      <c r="I26" s="25" t="s">
        <v>1113</v>
      </c>
    </row>
    <row r="27" spans="1:9" s="221" customFormat="1">
      <c r="B27" s="26">
        <v>41581</v>
      </c>
      <c r="C27" s="221" t="s">
        <v>1079</v>
      </c>
      <c r="D27" s="71">
        <v>1250</v>
      </c>
      <c r="E27" s="125">
        <f>D27/6.0045</f>
        <v>208.17720043300858</v>
      </c>
      <c r="F27" s="222"/>
      <c r="G27" s="40" t="s">
        <v>46</v>
      </c>
      <c r="H27" s="24" t="s">
        <v>50</v>
      </c>
      <c r="I27" s="223"/>
    </row>
    <row r="28" spans="1:9" s="221" customFormat="1">
      <c r="B28" s="26">
        <v>41608</v>
      </c>
      <c r="C28" s="24" t="s">
        <v>1081</v>
      </c>
      <c r="D28" s="71">
        <v>10000</v>
      </c>
      <c r="E28" s="125">
        <f>D28/6.0045</f>
        <v>1665.4176034640686</v>
      </c>
      <c r="F28" s="222" t="s">
        <v>500</v>
      </c>
      <c r="G28" s="40" t="s">
        <v>46</v>
      </c>
      <c r="H28" s="24" t="s">
        <v>50</v>
      </c>
      <c r="I28" s="25" t="s">
        <v>1113</v>
      </c>
    </row>
    <row r="29" spans="1:9">
      <c r="B29" s="26">
        <v>41613</v>
      </c>
      <c r="C29" s="221" t="s">
        <v>1210</v>
      </c>
      <c r="D29" s="71"/>
      <c r="E29" s="125">
        <v>4500</v>
      </c>
      <c r="F29" s="19" t="s">
        <v>49</v>
      </c>
      <c r="G29" s="40" t="s">
        <v>46</v>
      </c>
      <c r="H29" s="24" t="s">
        <v>50</v>
      </c>
      <c r="I29" s="25" t="s">
        <v>21</v>
      </c>
    </row>
    <row r="30" spans="1:9">
      <c r="B30" s="26">
        <v>41618</v>
      </c>
      <c r="C30" s="221" t="s">
        <v>1080</v>
      </c>
      <c r="D30" s="71">
        <v>2560</v>
      </c>
      <c r="E30" s="125">
        <f>D30/6.0058</f>
        <v>426.25462053348429</v>
      </c>
      <c r="G30" s="40" t="s">
        <v>46</v>
      </c>
      <c r="H30" s="24" t="s">
        <v>50</v>
      </c>
    </row>
    <row r="31" spans="1:9">
      <c r="B31" s="26">
        <v>41629</v>
      </c>
      <c r="C31" s="19" t="s">
        <v>1114</v>
      </c>
      <c r="D31" s="71">
        <f>65.91+2.17</f>
        <v>68.08</v>
      </c>
      <c r="E31" s="125">
        <f>D31/6.0058</f>
        <v>11.335708814812348</v>
      </c>
      <c r="G31" s="21" t="s">
        <v>48</v>
      </c>
      <c r="H31" s="24" t="s">
        <v>50</v>
      </c>
    </row>
    <row r="32" spans="1:9">
      <c r="B32" s="26">
        <v>41629</v>
      </c>
      <c r="C32" s="19" t="s">
        <v>1114</v>
      </c>
      <c r="D32" s="71"/>
      <c r="E32" s="125">
        <v>1.84</v>
      </c>
      <c r="G32" s="21" t="s">
        <v>48</v>
      </c>
      <c r="H32" s="24" t="s">
        <v>50</v>
      </c>
    </row>
    <row r="33" spans="2:9">
      <c r="B33" s="26">
        <v>41639</v>
      </c>
      <c r="C33" s="24" t="s">
        <v>1081</v>
      </c>
      <c r="D33" s="71">
        <v>10000</v>
      </c>
      <c r="E33" s="125">
        <f>D33/6.0058</f>
        <v>1665.0571114589231</v>
      </c>
      <c r="F33" s="222" t="s">
        <v>500</v>
      </c>
      <c r="G33" s="40" t="s">
        <v>46</v>
      </c>
      <c r="H33" s="24" t="s">
        <v>50</v>
      </c>
      <c r="I33" s="25" t="s">
        <v>1113</v>
      </c>
    </row>
    <row r="34" spans="2:9" ht="12" customHeight="1">
      <c r="D34" s="38"/>
    </row>
    <row r="37" spans="2:9" ht="12" customHeight="1" thickBot="1"/>
    <row r="38" spans="2:9" ht="12" customHeight="1">
      <c r="E38" s="456" t="s">
        <v>1115</v>
      </c>
      <c r="F38" s="457"/>
      <c r="G38" s="463" t="s">
        <v>1112</v>
      </c>
    </row>
    <row r="39" spans="2:9" ht="12" customHeight="1">
      <c r="C39" s="454">
        <v>41306</v>
      </c>
      <c r="E39" s="458" t="s">
        <v>1001</v>
      </c>
      <c r="F39" s="459">
        <f>SUMIF($B:$B,"&lt;2/1/2013",$E:$E)</f>
        <v>1609.0104585679808</v>
      </c>
      <c r="G39" s="464" t="s">
        <v>42</v>
      </c>
    </row>
    <row r="40" spans="2:9" ht="12" customHeight="1">
      <c r="C40" s="454">
        <v>41334</v>
      </c>
      <c r="E40" s="458" t="s">
        <v>1002</v>
      </c>
      <c r="F40" s="459">
        <f>SUMIF($B:$B,"&lt;3/1/2013",$E:$E)-SUM(F$39)</f>
        <v>267602.74934197741</v>
      </c>
      <c r="G40" s="464" t="s">
        <v>43</v>
      </c>
    </row>
    <row r="41" spans="2:9" ht="12" customHeight="1">
      <c r="C41" s="454">
        <v>41365</v>
      </c>
      <c r="E41" s="458" t="s">
        <v>1003</v>
      </c>
      <c r="F41" s="459">
        <f>SUMIF($B:$B,"&lt;4/1/2013",$E:$E)-SUM(F$39:F40)</f>
        <v>1683.7504501587246</v>
      </c>
      <c r="G41" s="464" t="s">
        <v>44</v>
      </c>
    </row>
    <row r="42" spans="2:9" ht="12" customHeight="1">
      <c r="C42" s="454">
        <v>41395</v>
      </c>
      <c r="E42" s="458" t="s">
        <v>1004</v>
      </c>
      <c r="F42" s="459">
        <f>SUMIF($B:$B,"&lt;5/1/2013",$E:$E)-SUM(F$39:F41)</f>
        <v>1732.888176300039</v>
      </c>
      <c r="G42" s="464" t="s">
        <v>45</v>
      </c>
    </row>
    <row r="43" spans="2:9" ht="12" customHeight="1">
      <c r="C43" s="454">
        <v>41426</v>
      </c>
      <c r="E43" s="458" t="s">
        <v>1005</v>
      </c>
      <c r="F43" s="459">
        <f>SUMIF($B:$B,"&lt;6/1/2013",$E:$E)-SUM(F$39:F42)</f>
        <v>1652.2098306484986</v>
      </c>
      <c r="G43" s="464" t="s">
        <v>46</v>
      </c>
    </row>
    <row r="44" spans="2:9" ht="12" customHeight="1">
      <c r="C44" s="454">
        <v>41456</v>
      </c>
      <c r="E44" s="458" t="s">
        <v>1006</v>
      </c>
      <c r="F44" s="459">
        <f>SUMIF($B:$B,"&lt;7/1/2013",$E:$E)-SUM(F$39:F43)</f>
        <v>1692.4921933085425</v>
      </c>
      <c r="G44" s="464" t="s">
        <v>47</v>
      </c>
    </row>
    <row r="45" spans="2:9" ht="12" customHeight="1">
      <c r="C45" s="454">
        <v>41487</v>
      </c>
      <c r="E45" s="458" t="s">
        <v>1007</v>
      </c>
      <c r="F45" s="459">
        <f>SUMIF($B:$B,"&lt;8/1/2013",$E:$E)-SUM(F$39:F44)</f>
        <v>2398.9356427461607</v>
      </c>
      <c r="G45" s="464" t="s">
        <v>48</v>
      </c>
    </row>
    <row r="46" spans="2:9" ht="12" customHeight="1">
      <c r="C46" s="454">
        <v>41518</v>
      </c>
      <c r="E46" s="458" t="s">
        <v>1008</v>
      </c>
      <c r="F46" s="459">
        <f>SUMIF($B:$B,"&lt;9/1/2013",$E:$E)-SUM(F$39:F45)</f>
        <v>1668.9865245174151</v>
      </c>
    </row>
    <row r="47" spans="2:9" ht="12" customHeight="1">
      <c r="C47" s="454">
        <v>41548</v>
      </c>
      <c r="E47" s="458" t="s">
        <v>1009</v>
      </c>
      <c r="F47" s="459">
        <f>SUMIF($B:$B,"&lt;10/1/2013",$E:$E)-SUM(F$39:F46)</f>
        <v>2091.2411122569465</v>
      </c>
    </row>
    <row r="48" spans="2:9" ht="12" customHeight="1">
      <c r="C48" s="454">
        <v>41579</v>
      </c>
      <c r="E48" s="458" t="s">
        <v>1010</v>
      </c>
      <c r="F48" s="459">
        <f>SUMIF($B:$B,"&lt;11/1/2013",$E:$E)-SUM(F$39:F47)</f>
        <v>1665.4730776277138</v>
      </c>
    </row>
    <row r="49" spans="3:6" ht="12" customHeight="1">
      <c r="C49" s="454">
        <v>41609</v>
      </c>
      <c r="E49" s="458" t="s">
        <v>1011</v>
      </c>
      <c r="F49" s="459">
        <f>SUMIF($B:$B,"&lt;12/1/2013",$E:$E)-SUM(F$39:F48)</f>
        <v>1873.5948038970237</v>
      </c>
    </row>
    <row r="50" spans="3:6" ht="12" customHeight="1">
      <c r="C50" s="454">
        <v>41640</v>
      </c>
      <c r="E50" s="458" t="s">
        <v>1012</v>
      </c>
      <c r="F50" s="459">
        <f>SUMIF($B:$B,"&lt;1/1/2014",$E:$E)-SUM(F$39:F49)</f>
        <v>6604.487440807221</v>
      </c>
    </row>
    <row r="51" spans="3:6" ht="12" customHeight="1">
      <c r="E51" s="458"/>
      <c r="F51" s="460"/>
    </row>
    <row r="52" spans="3:6" ht="12" customHeight="1" thickBot="1">
      <c r="E52" s="461" t="s">
        <v>333</v>
      </c>
      <c r="F52" s="462">
        <f>SUM(E2:E33)</f>
        <v>292275.81905281369</v>
      </c>
    </row>
    <row r="53" spans="3:6" ht="12" customHeight="1">
      <c r="F53" s="455"/>
    </row>
  </sheetData>
  <sortState ref="A2:I33">
    <sortCondition ref="B2:B33"/>
  </sortState>
  <phoneticPr fontId="83" type="noConversion"/>
  <dataValidations count="1">
    <dataValidation type="list" allowBlank="1" showInputMessage="1" showErrorMessage="1" sqref="G2:G33">
      <formula1>$G$38:$G$45</formula1>
    </dataValidation>
  </dataValidations>
  <printOptions gridLines="1"/>
  <pageMargins left="0.7" right="0.7" top="0.75" bottom="0.75" header="0.3" footer="0.3"/>
  <pageSetup scale="57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9"/>
  <sheetViews>
    <sheetView zoomScale="125" zoomScaleNormal="125" zoomScalePageLayoutView="125" workbookViewId="0">
      <pane ySplit="1" topLeftCell="A643" activePane="bottomLeft" state="frozen"/>
      <selection pane="bottomLeft" activeCell="C222" sqref="C222"/>
    </sheetView>
  </sheetViews>
  <sheetFormatPr baseColWidth="10" defaultColWidth="9" defaultRowHeight="14" x14ac:dyDescent="0"/>
  <cols>
    <col min="1" max="1" width="9" style="218"/>
    <col min="2" max="2" width="9" style="88"/>
    <col min="3" max="3" width="29" style="88" customWidth="1"/>
    <col min="4" max="4" width="11.6640625" style="280" bestFit="1" customWidth="1"/>
    <col min="5" max="5" width="10.5" style="413" customWidth="1"/>
    <col min="6" max="6" width="26" style="88" customWidth="1"/>
    <col min="7" max="7" width="41.83203125" style="88" customWidth="1"/>
    <col min="8" max="8" width="47.1640625" style="277" bestFit="1" customWidth="1"/>
    <col min="9" max="9" width="12.6640625" style="90" customWidth="1"/>
    <col min="10" max="10" width="12.1640625" style="88" customWidth="1"/>
    <col min="11" max="11" width="29.5" style="277" customWidth="1"/>
    <col min="12" max="12" width="9.5" style="416" bestFit="1" customWidth="1"/>
    <col min="13" max="16384" width="9" style="88"/>
  </cols>
  <sheetData>
    <row r="1" spans="1:15">
      <c r="A1" s="412" t="s">
        <v>502</v>
      </c>
      <c r="B1" s="376" t="s">
        <v>503</v>
      </c>
      <c r="C1" s="376" t="s">
        <v>504</v>
      </c>
      <c r="D1" s="415" t="s">
        <v>596</v>
      </c>
      <c r="E1" s="413" t="s">
        <v>597</v>
      </c>
      <c r="F1" s="376" t="s">
        <v>505</v>
      </c>
      <c r="G1" s="376" t="s">
        <v>399</v>
      </c>
      <c r="H1" s="414" t="s">
        <v>400</v>
      </c>
      <c r="I1" s="376" t="s">
        <v>401</v>
      </c>
      <c r="J1" s="415" t="s">
        <v>104</v>
      </c>
      <c r="K1" s="414" t="s">
        <v>1068</v>
      </c>
      <c r="M1" s="87"/>
      <c r="N1" s="87"/>
    </row>
    <row r="2" spans="1:15">
      <c r="A2" s="220">
        <v>3423</v>
      </c>
      <c r="B2" s="104">
        <v>41278</v>
      </c>
      <c r="C2" s="91" t="s">
        <v>220</v>
      </c>
      <c r="D2" s="105">
        <v>21</v>
      </c>
      <c r="E2" s="411">
        <f>D2/'12 - Equity Statement'!$I$10</f>
        <v>3.3789219629927594</v>
      </c>
      <c r="F2" s="91" t="s">
        <v>179</v>
      </c>
      <c r="G2" s="91" t="s">
        <v>132</v>
      </c>
      <c r="H2" s="355" t="s">
        <v>120</v>
      </c>
      <c r="I2" s="268" t="s">
        <v>1109</v>
      </c>
      <c r="J2" s="91" t="s">
        <v>188</v>
      </c>
      <c r="K2" s="123"/>
      <c r="L2" s="349"/>
      <c r="M2" s="123"/>
      <c r="N2" s="123"/>
      <c r="O2" s="123"/>
    </row>
    <row r="3" spans="1:15">
      <c r="A3" s="220">
        <v>3386</v>
      </c>
      <c r="B3" s="104">
        <v>41279</v>
      </c>
      <c r="C3" s="91" t="s">
        <v>318</v>
      </c>
      <c r="D3" s="105">
        <v>1018.08</v>
      </c>
      <c r="E3" s="411">
        <f>D3/'12 - Equity Statement'!$I$10</f>
        <v>163.81013676588898</v>
      </c>
      <c r="F3" s="91" t="s">
        <v>409</v>
      </c>
      <c r="G3" s="91" t="s">
        <v>19</v>
      </c>
      <c r="H3" s="355" t="s">
        <v>118</v>
      </c>
      <c r="I3" s="268" t="s">
        <v>1109</v>
      </c>
      <c r="J3" s="91" t="s">
        <v>292</v>
      </c>
      <c r="K3" s="123"/>
      <c r="L3" s="349"/>
      <c r="M3" s="123"/>
      <c r="N3" s="123"/>
      <c r="O3" s="123"/>
    </row>
    <row r="4" spans="1:15">
      <c r="A4" s="220">
        <v>3387</v>
      </c>
      <c r="B4" s="104">
        <v>41281</v>
      </c>
      <c r="C4" s="91" t="s">
        <v>337</v>
      </c>
      <c r="D4" s="105">
        <v>1988.32</v>
      </c>
      <c r="E4" s="411">
        <f>D4/'12 - Equity Statement'!$I$10</f>
        <v>319.92276749798873</v>
      </c>
      <c r="F4" s="91" t="s">
        <v>409</v>
      </c>
      <c r="G4" s="91" t="s">
        <v>19</v>
      </c>
      <c r="H4" s="355" t="s">
        <v>118</v>
      </c>
      <c r="I4" s="268" t="s">
        <v>1109</v>
      </c>
      <c r="J4" s="91" t="s">
        <v>292</v>
      </c>
      <c r="K4" s="123"/>
      <c r="L4" s="349"/>
      <c r="M4" s="123"/>
      <c r="N4" s="123"/>
      <c r="O4" s="123"/>
    </row>
    <row r="5" spans="1:15">
      <c r="A5" s="220">
        <v>3388</v>
      </c>
      <c r="B5" s="104">
        <v>41284</v>
      </c>
      <c r="C5" s="91" t="s">
        <v>301</v>
      </c>
      <c r="D5" s="105">
        <v>347.46</v>
      </c>
      <c r="E5" s="411">
        <f>D5/'12 - Equity Statement'!$I$10</f>
        <v>55.906677393403058</v>
      </c>
      <c r="F5" s="91" t="s">
        <v>181</v>
      </c>
      <c r="G5" s="91" t="s">
        <v>114</v>
      </c>
      <c r="H5" s="355" t="s">
        <v>118</v>
      </c>
      <c r="I5" s="268" t="s">
        <v>1109</v>
      </c>
      <c r="J5" s="91" t="s">
        <v>292</v>
      </c>
      <c r="K5" s="123"/>
      <c r="L5" s="349"/>
      <c r="M5" s="123"/>
      <c r="N5" s="123"/>
      <c r="O5" s="123"/>
    </row>
    <row r="6" spans="1:15">
      <c r="A6" s="220">
        <v>3251</v>
      </c>
      <c r="B6" s="104">
        <v>41284</v>
      </c>
      <c r="C6" s="91" t="s">
        <v>445</v>
      </c>
      <c r="D6" s="105">
        <v>3999</v>
      </c>
      <c r="E6" s="411">
        <f>D6/'12 - Equity Statement'!$I$10</f>
        <v>643.44328238133551</v>
      </c>
      <c r="F6" s="91" t="s">
        <v>446</v>
      </c>
      <c r="G6" s="91" t="s">
        <v>111</v>
      </c>
      <c r="H6" s="355" t="s">
        <v>118</v>
      </c>
      <c r="I6" s="268" t="s">
        <v>1109</v>
      </c>
      <c r="J6" s="91" t="s">
        <v>101</v>
      </c>
      <c r="K6" s="123"/>
      <c r="L6" s="349"/>
      <c r="M6" s="123"/>
      <c r="N6" s="123"/>
      <c r="O6" s="350"/>
    </row>
    <row r="7" spans="1:15">
      <c r="A7" s="220">
        <v>3351</v>
      </c>
      <c r="B7" s="104">
        <v>41284</v>
      </c>
      <c r="C7" s="91" t="s">
        <v>445</v>
      </c>
      <c r="D7" s="105">
        <v>3999</v>
      </c>
      <c r="E7" s="411">
        <f>D7/'12 - Equity Statement'!$I$10</f>
        <v>643.44328238133551</v>
      </c>
      <c r="F7" s="91" t="s">
        <v>446</v>
      </c>
      <c r="G7" s="91" t="s">
        <v>111</v>
      </c>
      <c r="H7" s="355" t="s">
        <v>118</v>
      </c>
      <c r="I7" s="268" t="s">
        <v>1109</v>
      </c>
      <c r="J7" s="91" t="s">
        <v>101</v>
      </c>
      <c r="K7" s="123"/>
      <c r="L7" s="349"/>
      <c r="M7" s="123"/>
      <c r="N7" s="123"/>
      <c r="O7" s="123"/>
    </row>
    <row r="8" spans="1:15">
      <c r="A8" s="220">
        <v>3389</v>
      </c>
      <c r="B8" s="104">
        <v>41284</v>
      </c>
      <c r="C8" s="91" t="s">
        <v>553</v>
      </c>
      <c r="D8" s="105">
        <v>11650.49</v>
      </c>
      <c r="E8" s="411">
        <f>D8/'12 - Equity Statement'!$I$10</f>
        <v>1874.5760257441673</v>
      </c>
      <c r="F8" s="91" t="s">
        <v>554</v>
      </c>
      <c r="G8" s="268" t="s">
        <v>1083</v>
      </c>
      <c r="H8" s="408" t="s">
        <v>123</v>
      </c>
      <c r="I8" s="268" t="s">
        <v>1109</v>
      </c>
      <c r="J8" s="91" t="s">
        <v>292</v>
      </c>
      <c r="K8" s="123"/>
      <c r="L8" s="349"/>
      <c r="M8" s="123"/>
      <c r="N8" s="123"/>
      <c r="O8" s="123"/>
    </row>
    <row r="9" spans="1:15">
      <c r="A9" s="220">
        <v>3390</v>
      </c>
      <c r="B9" s="104">
        <v>41285</v>
      </c>
      <c r="C9" s="91" t="s">
        <v>556</v>
      </c>
      <c r="D9" s="105">
        <v>480</v>
      </c>
      <c r="E9" s="411">
        <f>D9/'12 - Equity Statement'!$I$10</f>
        <v>77.23250201126308</v>
      </c>
      <c r="F9" s="91" t="s">
        <v>270</v>
      </c>
      <c r="G9" s="91" t="s">
        <v>19</v>
      </c>
      <c r="H9" s="355" t="s">
        <v>118</v>
      </c>
      <c r="I9" s="268" t="s">
        <v>1109</v>
      </c>
      <c r="J9" s="91" t="s">
        <v>292</v>
      </c>
      <c r="K9" s="123"/>
      <c r="L9" s="349"/>
      <c r="M9" s="123"/>
      <c r="N9" s="123"/>
      <c r="O9" s="123"/>
    </row>
    <row r="10" spans="1:15">
      <c r="A10" s="220">
        <v>3391</v>
      </c>
      <c r="B10" s="104">
        <v>41285</v>
      </c>
      <c r="C10" s="91" t="s">
        <v>444</v>
      </c>
      <c r="D10" s="105">
        <v>480</v>
      </c>
      <c r="E10" s="411">
        <f>D10/'12 - Equity Statement'!$I$10</f>
        <v>77.23250201126308</v>
      </c>
      <c r="F10" s="91" t="s">
        <v>270</v>
      </c>
      <c r="G10" s="91" t="s">
        <v>19</v>
      </c>
      <c r="H10" s="408" t="s">
        <v>123</v>
      </c>
      <c r="I10" s="268" t="s">
        <v>1109</v>
      </c>
      <c r="J10" s="91" t="s">
        <v>292</v>
      </c>
      <c r="K10" s="123"/>
      <c r="L10" s="349"/>
      <c r="M10" s="123"/>
      <c r="N10" s="123"/>
      <c r="O10" s="123"/>
    </row>
    <row r="11" spans="1:15">
      <c r="A11" s="220">
        <v>3353</v>
      </c>
      <c r="B11" s="104">
        <v>41285</v>
      </c>
      <c r="C11" s="91" t="s">
        <v>555</v>
      </c>
      <c r="D11" s="105">
        <v>29</v>
      </c>
      <c r="E11" s="411">
        <f>D11/'12 - Equity Statement'!$I$10</f>
        <v>4.6661303298471442</v>
      </c>
      <c r="F11" s="91" t="s">
        <v>446</v>
      </c>
      <c r="G11" s="91" t="s">
        <v>111</v>
      </c>
      <c r="H11" s="355" t="s">
        <v>118</v>
      </c>
      <c r="I11" s="268" t="s">
        <v>1109</v>
      </c>
      <c r="J11" s="91" t="s">
        <v>188</v>
      </c>
      <c r="K11" s="123"/>
      <c r="L11" s="349"/>
      <c r="M11" s="123"/>
      <c r="N11" s="123"/>
      <c r="O11" s="123"/>
    </row>
    <row r="12" spans="1:15">
      <c r="A12" s="220">
        <v>3392</v>
      </c>
      <c r="B12" s="104">
        <v>41286</v>
      </c>
      <c r="C12" s="91" t="s">
        <v>186</v>
      </c>
      <c r="D12" s="105">
        <v>173.6</v>
      </c>
      <c r="E12" s="411">
        <f>D12/'12 - Equity Statement'!$I$10</f>
        <v>27.932421560740146</v>
      </c>
      <c r="F12" s="91" t="s">
        <v>302</v>
      </c>
      <c r="G12" s="91" t="s">
        <v>114</v>
      </c>
      <c r="H12" s="355" t="s">
        <v>118</v>
      </c>
      <c r="I12" s="268" t="s">
        <v>1109</v>
      </c>
      <c r="J12" s="91" t="s">
        <v>292</v>
      </c>
      <c r="K12" s="123"/>
      <c r="L12" s="349"/>
      <c r="M12" s="123"/>
      <c r="N12" s="123"/>
      <c r="O12" s="123"/>
    </row>
    <row r="13" spans="1:15">
      <c r="A13" s="220">
        <v>3424</v>
      </c>
      <c r="B13" s="104">
        <v>41286</v>
      </c>
      <c r="C13" s="91" t="s">
        <v>549</v>
      </c>
      <c r="D13" s="105">
        <v>33</v>
      </c>
      <c r="E13" s="411">
        <f>D13/'12 - Equity Statement'!$I$10</f>
        <v>5.3097345132743365</v>
      </c>
      <c r="F13" s="91" t="s">
        <v>179</v>
      </c>
      <c r="G13" s="91" t="s">
        <v>132</v>
      </c>
      <c r="H13" s="355" t="s">
        <v>1071</v>
      </c>
      <c r="I13" s="268" t="s">
        <v>1109</v>
      </c>
      <c r="J13" s="91" t="s">
        <v>188</v>
      </c>
      <c r="K13" s="123"/>
      <c r="L13" s="349"/>
      <c r="M13" s="123"/>
      <c r="N13" s="123"/>
      <c r="O13" s="123"/>
    </row>
    <row r="14" spans="1:15">
      <c r="A14" s="220">
        <v>3393</v>
      </c>
      <c r="B14" s="104">
        <v>41288</v>
      </c>
      <c r="C14" s="91" t="s">
        <v>548</v>
      </c>
      <c r="D14" s="105">
        <v>955.68</v>
      </c>
      <c r="E14" s="411">
        <f>D14/'12 - Equity Statement'!$I$10</f>
        <v>153.76991150442478</v>
      </c>
      <c r="F14" s="91" t="s">
        <v>303</v>
      </c>
      <c r="G14" s="91" t="s">
        <v>127</v>
      </c>
      <c r="H14" s="355" t="s">
        <v>118</v>
      </c>
      <c r="I14" s="268" t="s">
        <v>1109</v>
      </c>
      <c r="J14" s="91" t="s">
        <v>292</v>
      </c>
      <c r="K14" s="123"/>
      <c r="L14" s="349"/>
      <c r="M14" s="123"/>
      <c r="N14" s="123"/>
      <c r="O14" s="123"/>
    </row>
    <row r="15" spans="1:15">
      <c r="A15" s="220">
        <v>3394</v>
      </c>
      <c r="B15" s="104">
        <v>41288</v>
      </c>
      <c r="C15" s="91" t="s">
        <v>658</v>
      </c>
      <c r="D15" s="105">
        <v>1398.05</v>
      </c>
      <c r="E15" s="411">
        <f>D15/'12 - Equity Statement'!$I$10</f>
        <v>224.94770716009654</v>
      </c>
      <c r="F15" s="91" t="s">
        <v>659</v>
      </c>
      <c r="G15" s="268" t="s">
        <v>1083</v>
      </c>
      <c r="H15" s="408" t="s">
        <v>123</v>
      </c>
      <c r="I15" s="268" t="s">
        <v>1109</v>
      </c>
      <c r="J15" s="91" t="s">
        <v>292</v>
      </c>
      <c r="K15" s="123"/>
      <c r="L15" s="349"/>
      <c r="M15" s="123"/>
      <c r="N15" s="123"/>
      <c r="O15" s="123"/>
    </row>
    <row r="16" spans="1:15">
      <c r="A16" s="220">
        <v>3352</v>
      </c>
      <c r="B16" s="104">
        <v>41289</v>
      </c>
      <c r="C16" s="91" t="s">
        <v>662</v>
      </c>
      <c r="D16" s="105">
        <v>358</v>
      </c>
      <c r="E16" s="411">
        <f>D16/'12 - Equity Statement'!$I$10</f>
        <v>57.602574416733709</v>
      </c>
      <c r="F16" s="91" t="s">
        <v>446</v>
      </c>
      <c r="G16" s="91" t="s">
        <v>111</v>
      </c>
      <c r="H16" s="355" t="s">
        <v>118</v>
      </c>
      <c r="I16" s="268" t="s">
        <v>1109</v>
      </c>
      <c r="J16" s="91" t="s">
        <v>188</v>
      </c>
      <c r="K16" s="123"/>
      <c r="L16" s="349"/>
      <c r="M16" s="123"/>
      <c r="N16" s="123"/>
      <c r="O16" s="123"/>
    </row>
    <row r="17" spans="1:15">
      <c r="A17" s="220">
        <v>3359</v>
      </c>
      <c r="B17" s="104">
        <v>41290</v>
      </c>
      <c r="C17" s="91" t="s">
        <v>555</v>
      </c>
      <c r="D17" s="105">
        <v>29</v>
      </c>
      <c r="E17" s="411">
        <f>D17/'12 - Equity Statement'!$I$10</f>
        <v>4.6661303298471442</v>
      </c>
      <c r="F17" s="91" t="s">
        <v>446</v>
      </c>
      <c r="G17" s="91" t="s">
        <v>111</v>
      </c>
      <c r="H17" s="355" t="s">
        <v>118</v>
      </c>
      <c r="I17" s="268" t="s">
        <v>1109</v>
      </c>
      <c r="J17" s="91" t="s">
        <v>188</v>
      </c>
      <c r="K17" s="123"/>
      <c r="L17" s="349"/>
      <c r="M17" s="123"/>
      <c r="N17" s="123"/>
      <c r="O17" s="123"/>
    </row>
    <row r="18" spans="1:15">
      <c r="A18" s="220">
        <v>3360</v>
      </c>
      <c r="B18" s="104">
        <v>41290</v>
      </c>
      <c r="C18" s="91" t="s">
        <v>662</v>
      </c>
      <c r="D18" s="105">
        <v>358</v>
      </c>
      <c r="E18" s="411">
        <f>D18/'12 - Equity Statement'!$I$10</f>
        <v>57.602574416733709</v>
      </c>
      <c r="F18" s="91" t="s">
        <v>446</v>
      </c>
      <c r="G18" s="91" t="s">
        <v>111</v>
      </c>
      <c r="H18" s="355" t="s">
        <v>118</v>
      </c>
      <c r="I18" s="268" t="s">
        <v>1109</v>
      </c>
      <c r="J18" s="91" t="s">
        <v>188</v>
      </c>
      <c r="K18" s="123"/>
      <c r="L18" s="349"/>
      <c r="M18" s="123"/>
      <c r="N18" s="123"/>
      <c r="O18" s="123"/>
    </row>
    <row r="19" spans="1:15">
      <c r="A19" s="220">
        <v>3426</v>
      </c>
      <c r="B19" s="104">
        <v>41294</v>
      </c>
      <c r="C19" s="91" t="s">
        <v>562</v>
      </c>
      <c r="D19" s="105">
        <v>34</v>
      </c>
      <c r="E19" s="411">
        <f>D19/'12 - Equity Statement'!$I$10</f>
        <v>5.4706355591311349</v>
      </c>
      <c r="F19" s="91" t="s">
        <v>179</v>
      </c>
      <c r="G19" s="91" t="s">
        <v>132</v>
      </c>
      <c r="H19" s="355" t="s">
        <v>118</v>
      </c>
      <c r="I19" s="268" t="s">
        <v>1109</v>
      </c>
      <c r="J19" s="91" t="s">
        <v>188</v>
      </c>
      <c r="K19" s="123"/>
      <c r="L19" s="349"/>
      <c r="M19" s="123"/>
      <c r="N19" s="123"/>
      <c r="O19" s="123"/>
    </row>
    <row r="20" spans="1:15">
      <c r="A20" s="220">
        <v>3427</v>
      </c>
      <c r="B20" s="104">
        <v>41295</v>
      </c>
      <c r="C20" s="91" t="s">
        <v>462</v>
      </c>
      <c r="D20" s="105">
        <v>99</v>
      </c>
      <c r="E20" s="411">
        <f>D20/'12 - Equity Statement'!$I$10</f>
        <v>15.929203539823009</v>
      </c>
      <c r="F20" s="91" t="s">
        <v>179</v>
      </c>
      <c r="G20" s="91" t="s">
        <v>132</v>
      </c>
      <c r="H20" s="355" t="s">
        <v>1071</v>
      </c>
      <c r="I20" s="268" t="s">
        <v>1109</v>
      </c>
      <c r="J20" s="91" t="s">
        <v>188</v>
      </c>
      <c r="K20" s="123"/>
      <c r="L20" s="349"/>
      <c r="M20" s="123"/>
      <c r="N20" s="123"/>
      <c r="O20" s="123"/>
    </row>
    <row r="21" spans="1:15">
      <c r="A21" s="220">
        <v>3355</v>
      </c>
      <c r="B21" s="104">
        <v>41297</v>
      </c>
      <c r="C21" s="91" t="s">
        <v>364</v>
      </c>
      <c r="D21" s="105">
        <v>990</v>
      </c>
      <c r="E21" s="411">
        <f>D21/'12 - Equity Statement'!$I$10</f>
        <v>159.2920353982301</v>
      </c>
      <c r="F21" s="91" t="s">
        <v>568</v>
      </c>
      <c r="G21" s="91" t="s">
        <v>132</v>
      </c>
      <c r="H21" s="355" t="s">
        <v>118</v>
      </c>
      <c r="I21" s="268" t="s">
        <v>1109</v>
      </c>
      <c r="J21" s="91" t="s">
        <v>188</v>
      </c>
      <c r="K21" s="123"/>
      <c r="L21" s="349"/>
      <c r="M21" s="123"/>
      <c r="N21" s="123"/>
      <c r="O21" s="123"/>
    </row>
    <row r="22" spans="1:15">
      <c r="A22" s="220">
        <v>3356</v>
      </c>
      <c r="B22" s="104">
        <v>41298</v>
      </c>
      <c r="C22" s="91" t="s">
        <v>587</v>
      </c>
      <c r="D22" s="105">
        <v>73</v>
      </c>
      <c r="E22" s="411">
        <f>D22/'12 - Equity Statement'!$I$10</f>
        <v>11.74577634754626</v>
      </c>
      <c r="F22" s="91" t="s">
        <v>179</v>
      </c>
      <c r="G22" s="91" t="s">
        <v>132</v>
      </c>
      <c r="H22" s="355" t="s">
        <v>118</v>
      </c>
      <c r="I22" s="268" t="s">
        <v>1109</v>
      </c>
      <c r="J22" s="91" t="s">
        <v>188</v>
      </c>
      <c r="K22" s="123"/>
      <c r="L22" s="349"/>
      <c r="M22" s="123"/>
      <c r="N22" s="123"/>
      <c r="O22" s="123"/>
    </row>
    <row r="23" spans="1:15">
      <c r="A23" s="220">
        <v>3395</v>
      </c>
      <c r="B23" s="104">
        <v>41304</v>
      </c>
      <c r="C23" s="91" t="s">
        <v>730</v>
      </c>
      <c r="D23" s="105">
        <v>1018.08</v>
      </c>
      <c r="E23" s="411">
        <f>D23/'12 - Equity Statement'!$I$10</f>
        <v>163.81013676588898</v>
      </c>
      <c r="F23" s="91" t="s">
        <v>409</v>
      </c>
      <c r="G23" s="91" t="s">
        <v>19</v>
      </c>
      <c r="H23" s="355" t="s">
        <v>118</v>
      </c>
      <c r="I23" s="268" t="s">
        <v>1109</v>
      </c>
      <c r="J23" s="91" t="s">
        <v>292</v>
      </c>
      <c r="K23" s="123"/>
      <c r="L23" s="349"/>
      <c r="M23" s="123"/>
      <c r="N23" s="123"/>
      <c r="O23" s="123"/>
    </row>
    <row r="24" spans="1:15">
      <c r="A24" s="220">
        <v>3363</v>
      </c>
      <c r="B24" s="104">
        <v>41305</v>
      </c>
      <c r="C24" s="91" t="s">
        <v>732</v>
      </c>
      <c r="D24" s="105">
        <v>7500</v>
      </c>
      <c r="E24" s="411">
        <f>D24/'12 - Equity Statement'!$I$10</f>
        <v>1206.7578439259855</v>
      </c>
      <c r="F24" s="91" t="s">
        <v>509</v>
      </c>
      <c r="G24" s="91" t="s">
        <v>51</v>
      </c>
      <c r="H24" s="355" t="s">
        <v>118</v>
      </c>
      <c r="I24" s="268" t="s">
        <v>1109</v>
      </c>
      <c r="J24" s="91" t="s">
        <v>188</v>
      </c>
      <c r="K24" s="123"/>
      <c r="L24" s="349"/>
      <c r="M24" s="123"/>
      <c r="N24" s="123"/>
      <c r="O24" s="123"/>
    </row>
    <row r="25" spans="1:15">
      <c r="A25" s="220">
        <v>3362</v>
      </c>
      <c r="B25" s="104">
        <v>41305</v>
      </c>
      <c r="C25" s="91" t="s">
        <v>731</v>
      </c>
      <c r="D25" s="105">
        <v>10000</v>
      </c>
      <c r="E25" s="411">
        <f>D25/'12 - Equity Statement'!$I$10</f>
        <v>1609.0104585679808</v>
      </c>
      <c r="F25" s="92" t="s">
        <v>511</v>
      </c>
      <c r="G25" s="91" t="s">
        <v>51</v>
      </c>
      <c r="H25" s="355" t="s">
        <v>118</v>
      </c>
      <c r="I25" s="268" t="s">
        <v>1109</v>
      </c>
      <c r="J25" s="91" t="s">
        <v>175</v>
      </c>
      <c r="K25" s="123"/>
      <c r="L25" s="349"/>
      <c r="M25" s="123"/>
      <c r="N25" s="123"/>
      <c r="O25" s="123"/>
    </row>
    <row r="26" spans="1:15">
      <c r="A26" s="220">
        <v>3364</v>
      </c>
      <c r="B26" s="104">
        <v>41305</v>
      </c>
      <c r="C26" s="91" t="s">
        <v>607</v>
      </c>
      <c r="D26" s="105">
        <v>4200</v>
      </c>
      <c r="E26" s="411">
        <f>D26/'12 - Equity Statement'!$I$10</f>
        <v>675.7843925985519</v>
      </c>
      <c r="F26" s="91" t="s">
        <v>510</v>
      </c>
      <c r="G26" s="91" t="s">
        <v>20</v>
      </c>
      <c r="H26" s="408" t="s">
        <v>123</v>
      </c>
      <c r="I26" s="268" t="s">
        <v>1109</v>
      </c>
      <c r="J26" s="91" t="s">
        <v>188</v>
      </c>
      <c r="K26" s="123"/>
      <c r="L26" s="349"/>
      <c r="M26" s="123"/>
      <c r="N26" s="123"/>
      <c r="O26" s="123"/>
    </row>
    <row r="27" spans="1:15">
      <c r="A27" s="219">
        <v>3448</v>
      </c>
      <c r="B27" s="106">
        <v>41306</v>
      </c>
      <c r="C27" s="92" t="s">
        <v>512</v>
      </c>
      <c r="D27" s="105">
        <v>1988.32</v>
      </c>
      <c r="E27" s="413">
        <f>D27/'12 - Equity Statement'!$J$10</f>
        <v>316.71737364405294</v>
      </c>
      <c r="F27" s="92" t="s">
        <v>409</v>
      </c>
      <c r="G27" s="91" t="s">
        <v>52</v>
      </c>
      <c r="H27" s="356" t="s">
        <v>119</v>
      </c>
      <c r="I27" s="268" t="s">
        <v>1109</v>
      </c>
      <c r="J27" s="92" t="s">
        <v>292</v>
      </c>
      <c r="K27" s="355"/>
    </row>
    <row r="28" spans="1:15">
      <c r="A28" s="219">
        <v>3449</v>
      </c>
      <c r="B28" s="106">
        <v>41314</v>
      </c>
      <c r="C28" s="92" t="s">
        <v>301</v>
      </c>
      <c r="D28" s="105">
        <v>376.84</v>
      </c>
      <c r="E28" s="413">
        <f>D28/'12 - Equity Statement'!$J$10</f>
        <v>60.02644196307682</v>
      </c>
      <c r="F28" s="92" t="s">
        <v>420</v>
      </c>
      <c r="G28" s="91" t="s">
        <v>114</v>
      </c>
      <c r="H28" s="355" t="s">
        <v>118</v>
      </c>
      <c r="I28" s="268" t="s">
        <v>1109</v>
      </c>
      <c r="J28" s="92" t="s">
        <v>292</v>
      </c>
      <c r="K28" s="355" t="s">
        <v>23</v>
      </c>
    </row>
    <row r="29" spans="1:15">
      <c r="A29" s="219">
        <v>3450</v>
      </c>
      <c r="B29" s="106">
        <v>41314</v>
      </c>
      <c r="C29" s="92" t="s">
        <v>186</v>
      </c>
      <c r="D29" s="105">
        <v>173.6</v>
      </c>
      <c r="E29" s="413">
        <f>D29/'12 - Equity Statement'!$J$10</f>
        <v>27.652558976727885</v>
      </c>
      <c r="F29" s="92" t="s">
        <v>302</v>
      </c>
      <c r="G29" s="91" t="s">
        <v>114</v>
      </c>
      <c r="H29" s="355" t="s">
        <v>1071</v>
      </c>
      <c r="I29" s="268" t="s">
        <v>1109</v>
      </c>
      <c r="J29" s="92" t="s">
        <v>292</v>
      </c>
      <c r="K29" s="356" t="s">
        <v>29</v>
      </c>
    </row>
    <row r="30" spans="1:15">
      <c r="A30" s="219">
        <v>3451</v>
      </c>
      <c r="B30" s="106">
        <v>41322</v>
      </c>
      <c r="C30" s="92" t="s">
        <v>421</v>
      </c>
      <c r="D30" s="105">
        <v>480</v>
      </c>
      <c r="E30" s="413">
        <f>D30/'12 - Equity Statement'!$J$10</f>
        <v>76.458688414915812</v>
      </c>
      <c r="F30" s="92" t="s">
        <v>409</v>
      </c>
      <c r="G30" s="91" t="s">
        <v>52</v>
      </c>
      <c r="H30" s="356" t="s">
        <v>119</v>
      </c>
      <c r="I30" s="268" t="s">
        <v>1109</v>
      </c>
      <c r="J30" s="92" t="s">
        <v>292</v>
      </c>
      <c r="K30" s="355"/>
    </row>
    <row r="31" spans="1:15">
      <c r="A31" s="219">
        <v>3452</v>
      </c>
      <c r="B31" s="106">
        <v>41322</v>
      </c>
      <c r="C31" s="92" t="s">
        <v>422</v>
      </c>
      <c r="D31" s="105">
        <v>480</v>
      </c>
      <c r="E31" s="413">
        <f>D31/'12 - Equity Statement'!$J$10</f>
        <v>76.458688414915812</v>
      </c>
      <c r="F31" s="92" t="s">
        <v>409</v>
      </c>
      <c r="G31" s="91" t="s">
        <v>52</v>
      </c>
      <c r="H31" s="355" t="s">
        <v>1071</v>
      </c>
      <c r="I31" s="268" t="s">
        <v>1109</v>
      </c>
      <c r="J31" s="92" t="s">
        <v>292</v>
      </c>
      <c r="K31" s="356" t="s">
        <v>29</v>
      </c>
    </row>
    <row r="32" spans="1:15">
      <c r="A32" s="219">
        <v>3453</v>
      </c>
      <c r="B32" s="106">
        <v>41323</v>
      </c>
      <c r="C32" s="92" t="s">
        <v>423</v>
      </c>
      <c r="D32" s="105">
        <v>955.68</v>
      </c>
      <c r="E32" s="413">
        <f>D32/'12 - Equity Statement'!$J$10</f>
        <v>152.22924863409739</v>
      </c>
      <c r="F32" s="92" t="s">
        <v>303</v>
      </c>
      <c r="G32" s="91" t="s">
        <v>116</v>
      </c>
      <c r="H32" s="356" t="s">
        <v>119</v>
      </c>
      <c r="I32" s="268" t="s">
        <v>1109</v>
      </c>
      <c r="J32" s="92" t="s">
        <v>292</v>
      </c>
      <c r="K32" s="355"/>
    </row>
    <row r="33" spans="1:11">
      <c r="A33" s="219">
        <v>3441</v>
      </c>
      <c r="B33" s="106">
        <v>41333</v>
      </c>
      <c r="C33" s="92" t="s">
        <v>442</v>
      </c>
      <c r="D33" s="105">
        <v>7500</v>
      </c>
      <c r="E33" s="413">
        <f>D33/'12 - Equity Statement'!$J$10</f>
        <v>1194.6670064830596</v>
      </c>
      <c r="F33" s="92" t="s">
        <v>509</v>
      </c>
      <c r="G33" s="91" t="s">
        <v>51</v>
      </c>
      <c r="H33" s="355" t="s">
        <v>118</v>
      </c>
      <c r="I33" s="268" t="s">
        <v>1109</v>
      </c>
      <c r="J33" s="92" t="s">
        <v>188</v>
      </c>
      <c r="K33" s="355" t="s">
        <v>24</v>
      </c>
    </row>
    <row r="34" spans="1:11">
      <c r="A34" s="219">
        <v>3440</v>
      </c>
      <c r="B34" s="106">
        <v>41333</v>
      </c>
      <c r="C34" s="92" t="s">
        <v>441</v>
      </c>
      <c r="D34" s="105">
        <v>10000</v>
      </c>
      <c r="E34" s="413">
        <f>D34/'12 - Equity Statement'!$J$10</f>
        <v>1592.8893419774129</v>
      </c>
      <c r="F34" s="92" t="s">
        <v>511</v>
      </c>
      <c r="G34" s="91" t="s">
        <v>51</v>
      </c>
      <c r="H34" s="355" t="s">
        <v>1071</v>
      </c>
      <c r="I34" s="268" t="s">
        <v>1109</v>
      </c>
      <c r="J34" s="91" t="s">
        <v>175</v>
      </c>
      <c r="K34" s="355" t="s">
        <v>29</v>
      </c>
    </row>
    <row r="35" spans="1:11">
      <c r="A35" s="219">
        <v>3442</v>
      </c>
      <c r="B35" s="106">
        <v>41333</v>
      </c>
      <c r="C35" s="92" t="s">
        <v>443</v>
      </c>
      <c r="D35" s="105">
        <v>4200</v>
      </c>
      <c r="E35" s="413">
        <f>D35/'12 - Equity Statement'!$J$10</f>
        <v>669.01352363051342</v>
      </c>
      <c r="F35" s="92" t="s">
        <v>510</v>
      </c>
      <c r="G35" s="91" t="s">
        <v>53</v>
      </c>
      <c r="H35" s="355" t="s">
        <v>1071</v>
      </c>
      <c r="I35" s="268" t="s">
        <v>1109</v>
      </c>
      <c r="J35" s="92" t="s">
        <v>188</v>
      </c>
      <c r="K35" s="356" t="s">
        <v>34</v>
      </c>
    </row>
    <row r="36" spans="1:11">
      <c r="A36" s="219">
        <v>3454</v>
      </c>
      <c r="B36" s="106">
        <v>41333</v>
      </c>
      <c r="C36" s="92" t="s">
        <v>780</v>
      </c>
      <c r="D36" s="105">
        <v>1018.08</v>
      </c>
      <c r="E36" s="413">
        <f>D36/'12 - Equity Statement'!$J$10</f>
        <v>162.16887812803645</v>
      </c>
      <c r="F36" s="92" t="s">
        <v>409</v>
      </c>
      <c r="G36" s="91" t="s">
        <v>52</v>
      </c>
      <c r="H36" s="356" t="s">
        <v>119</v>
      </c>
      <c r="I36" s="268" t="s">
        <v>1109</v>
      </c>
      <c r="J36" s="92" t="s">
        <v>292</v>
      </c>
      <c r="K36" s="355"/>
    </row>
    <row r="37" spans="1:11">
      <c r="A37" s="219">
        <v>3510</v>
      </c>
      <c r="B37" s="106">
        <v>41335</v>
      </c>
      <c r="C37" s="92" t="s">
        <v>781</v>
      </c>
      <c r="D37" s="105">
        <v>53</v>
      </c>
      <c r="E37" s="413">
        <f>D37/'12 - Equity Statement'!$K$10</f>
        <v>8.4544337922123489</v>
      </c>
      <c r="F37" s="92" t="s">
        <v>179</v>
      </c>
      <c r="G37" s="91" t="s">
        <v>132</v>
      </c>
      <c r="H37" s="355" t="s">
        <v>1071</v>
      </c>
      <c r="I37" s="268" t="s">
        <v>1109</v>
      </c>
      <c r="J37" s="92" t="s">
        <v>188</v>
      </c>
      <c r="K37" s="356" t="s">
        <v>29</v>
      </c>
    </row>
    <row r="38" spans="1:11">
      <c r="A38" s="219">
        <v>3561</v>
      </c>
      <c r="B38" s="106">
        <v>41337</v>
      </c>
      <c r="C38" s="92" t="s">
        <v>784</v>
      </c>
      <c r="D38" s="105">
        <v>1106</v>
      </c>
      <c r="E38" s="413">
        <f>D38/'12 - Equity Statement'!$K$10</f>
        <v>176.42648630541242</v>
      </c>
      <c r="F38" s="92" t="s">
        <v>559</v>
      </c>
      <c r="G38" s="91" t="s">
        <v>132</v>
      </c>
      <c r="H38" s="355" t="s">
        <v>1071</v>
      </c>
      <c r="I38" s="268" t="s">
        <v>1109</v>
      </c>
      <c r="J38" s="92" t="s">
        <v>188</v>
      </c>
      <c r="K38" s="356" t="s">
        <v>34</v>
      </c>
    </row>
    <row r="39" spans="1:11">
      <c r="A39" s="219">
        <v>3511</v>
      </c>
      <c r="B39" s="106">
        <v>41337</v>
      </c>
      <c r="C39" s="92" t="s">
        <v>782</v>
      </c>
      <c r="D39" s="105">
        <v>157</v>
      </c>
      <c r="E39" s="413">
        <f>D39/'12 - Equity Statement'!$K$10</f>
        <v>25.044266139195074</v>
      </c>
      <c r="F39" s="92" t="s">
        <v>783</v>
      </c>
      <c r="G39" s="91" t="s">
        <v>132</v>
      </c>
      <c r="H39" s="355" t="s">
        <v>1071</v>
      </c>
      <c r="I39" s="268" t="s">
        <v>1109</v>
      </c>
      <c r="J39" s="92" t="s">
        <v>188</v>
      </c>
      <c r="K39" s="356" t="s">
        <v>29</v>
      </c>
    </row>
    <row r="40" spans="1:11">
      <c r="A40" s="219">
        <v>3458</v>
      </c>
      <c r="B40" s="106">
        <v>41338</v>
      </c>
      <c r="C40" s="92" t="s">
        <v>671</v>
      </c>
      <c r="D40" s="105">
        <v>1988.32</v>
      </c>
      <c r="E40" s="413">
        <f>D40/'12 - Equity Statement'!$K$10</f>
        <v>317.17207165531431</v>
      </c>
      <c r="F40" s="92" t="s">
        <v>409</v>
      </c>
      <c r="G40" s="91" t="s">
        <v>52</v>
      </c>
      <c r="H40" s="356" t="s">
        <v>119</v>
      </c>
      <c r="I40" s="268" t="s">
        <v>1109</v>
      </c>
      <c r="J40" s="92" t="s">
        <v>292</v>
      </c>
      <c r="K40" s="355"/>
    </row>
    <row r="41" spans="1:11">
      <c r="A41" s="219">
        <v>3460</v>
      </c>
      <c r="B41" s="106">
        <v>41338</v>
      </c>
      <c r="C41" s="92" t="s">
        <v>358</v>
      </c>
      <c r="D41" s="105">
        <v>13200</v>
      </c>
      <c r="E41" s="413">
        <f>D41/'12 - Equity Statement'!$K$10</f>
        <v>2105.632567117038</v>
      </c>
      <c r="F41" s="92" t="s">
        <v>357</v>
      </c>
      <c r="G41" s="92" t="s">
        <v>113</v>
      </c>
      <c r="H41" s="408" t="s">
        <v>123</v>
      </c>
      <c r="I41" s="268" t="s">
        <v>1109</v>
      </c>
      <c r="J41" s="92" t="s">
        <v>188</v>
      </c>
      <c r="K41" s="355"/>
    </row>
    <row r="42" spans="1:11">
      <c r="A42" s="219">
        <v>3456</v>
      </c>
      <c r="B42" s="106">
        <v>41338</v>
      </c>
      <c r="C42" s="92" t="s">
        <v>670</v>
      </c>
      <c r="D42" s="105">
        <v>52800</v>
      </c>
      <c r="E42" s="413">
        <f>D42/'12 - Equity Statement'!$K$10</f>
        <v>8422.5302684681519</v>
      </c>
      <c r="F42" s="92" t="s">
        <v>357</v>
      </c>
      <c r="G42" s="92" t="s">
        <v>113</v>
      </c>
      <c r="H42" s="355" t="s">
        <v>118</v>
      </c>
      <c r="I42" s="268" t="s">
        <v>1109</v>
      </c>
      <c r="J42" s="92" t="s">
        <v>188</v>
      </c>
      <c r="K42" s="356" t="s">
        <v>27</v>
      </c>
    </row>
    <row r="43" spans="1:11">
      <c r="A43" s="219">
        <v>3512</v>
      </c>
      <c r="B43" s="106">
        <v>41344</v>
      </c>
      <c r="C43" s="92" t="s">
        <v>566</v>
      </c>
      <c r="D43" s="105">
        <v>21</v>
      </c>
      <c r="E43" s="413">
        <f>D43/'12 - Equity Statement'!$K$10</f>
        <v>3.3498699931407421</v>
      </c>
      <c r="F43" s="92" t="s">
        <v>179</v>
      </c>
      <c r="G43" s="91" t="s">
        <v>132</v>
      </c>
      <c r="H43" s="355" t="s">
        <v>1071</v>
      </c>
      <c r="I43" s="268" t="s">
        <v>1109</v>
      </c>
      <c r="J43" s="92" t="s">
        <v>188</v>
      </c>
      <c r="K43" s="355" t="s">
        <v>34</v>
      </c>
    </row>
    <row r="44" spans="1:11">
      <c r="A44" s="219">
        <v>3492</v>
      </c>
      <c r="B44" s="106">
        <v>41345</v>
      </c>
      <c r="C44" s="92" t="s">
        <v>676</v>
      </c>
      <c r="D44" s="105">
        <v>480</v>
      </c>
      <c r="E44" s="413">
        <f>D44/'12 - Equity Statement'!$K$10</f>
        <v>76.568456986074111</v>
      </c>
      <c r="F44" s="92" t="s">
        <v>409</v>
      </c>
      <c r="G44" s="91" t="s">
        <v>52</v>
      </c>
      <c r="H44" s="356" t="s">
        <v>119</v>
      </c>
      <c r="I44" s="268" t="s">
        <v>1109</v>
      </c>
      <c r="J44" s="92" t="s">
        <v>292</v>
      </c>
      <c r="K44" s="355"/>
    </row>
    <row r="45" spans="1:11">
      <c r="A45" s="219">
        <v>3493</v>
      </c>
      <c r="B45" s="106">
        <v>41345</v>
      </c>
      <c r="C45" s="92" t="s">
        <v>677</v>
      </c>
      <c r="D45" s="105">
        <v>480</v>
      </c>
      <c r="E45" s="413">
        <f>D45/'12 - Equity Statement'!$K$10</f>
        <v>76.568456986074111</v>
      </c>
      <c r="F45" s="92" t="s">
        <v>409</v>
      </c>
      <c r="G45" s="91" t="s">
        <v>52</v>
      </c>
      <c r="H45" s="355" t="s">
        <v>1071</v>
      </c>
      <c r="I45" s="268" t="s">
        <v>1109</v>
      </c>
      <c r="J45" s="92" t="s">
        <v>292</v>
      </c>
      <c r="K45" s="356" t="s">
        <v>29</v>
      </c>
    </row>
    <row r="46" spans="1:11">
      <c r="A46" s="219">
        <v>3494</v>
      </c>
      <c r="B46" s="106">
        <v>41345</v>
      </c>
      <c r="C46" s="92" t="s">
        <v>570</v>
      </c>
      <c r="D46" s="105">
        <v>344.14</v>
      </c>
      <c r="E46" s="413">
        <f>D46/'12 - Equity Statement'!$K$10</f>
        <v>54.896393306640711</v>
      </c>
      <c r="F46" s="92" t="s">
        <v>181</v>
      </c>
      <c r="G46" s="91" t="s">
        <v>114</v>
      </c>
      <c r="H46" s="355" t="s">
        <v>118</v>
      </c>
      <c r="I46" s="268" t="s">
        <v>1109</v>
      </c>
      <c r="J46" s="92" t="s">
        <v>292</v>
      </c>
      <c r="K46" s="355" t="s">
        <v>23</v>
      </c>
    </row>
    <row r="47" spans="1:11">
      <c r="A47" s="219">
        <v>3495</v>
      </c>
      <c r="B47" s="106">
        <v>41345</v>
      </c>
      <c r="C47" s="92" t="s">
        <v>569</v>
      </c>
      <c r="D47" s="105">
        <v>173.6</v>
      </c>
      <c r="E47" s="413">
        <f>D47/'12 - Equity Statement'!$K$10</f>
        <v>27.692258609963467</v>
      </c>
      <c r="F47" s="92" t="s">
        <v>563</v>
      </c>
      <c r="G47" s="91" t="s">
        <v>114</v>
      </c>
      <c r="H47" s="355" t="s">
        <v>1071</v>
      </c>
      <c r="I47" s="268" t="s">
        <v>1109</v>
      </c>
      <c r="J47" s="92" t="s">
        <v>292</v>
      </c>
      <c r="K47" s="356" t="s">
        <v>29</v>
      </c>
    </row>
    <row r="48" spans="1:11">
      <c r="A48" s="219">
        <v>3513</v>
      </c>
      <c r="B48" s="106">
        <v>41345</v>
      </c>
      <c r="C48" s="92" t="s">
        <v>564</v>
      </c>
      <c r="D48" s="105">
        <v>31</v>
      </c>
      <c r="E48" s="413">
        <f>D48/'12 - Equity Statement'!$K$10</f>
        <v>4.9450461803506194</v>
      </c>
      <c r="F48" s="92" t="s">
        <v>179</v>
      </c>
      <c r="G48" s="91" t="s">
        <v>132</v>
      </c>
      <c r="H48" s="355" t="s">
        <v>1071</v>
      </c>
      <c r="I48" s="268" t="s">
        <v>1109</v>
      </c>
      <c r="J48" s="92" t="s">
        <v>188</v>
      </c>
      <c r="K48" s="355" t="s">
        <v>29</v>
      </c>
    </row>
    <row r="49" spans="1:11">
      <c r="A49" s="219">
        <v>3498</v>
      </c>
      <c r="B49" s="106">
        <v>41348</v>
      </c>
      <c r="C49" s="92" t="s">
        <v>463</v>
      </c>
      <c r="D49" s="105">
        <v>955.68</v>
      </c>
      <c r="E49" s="413">
        <f>D49/'12 - Equity Statement'!$K$10</f>
        <v>152.44779785927355</v>
      </c>
      <c r="F49" s="92" t="s">
        <v>303</v>
      </c>
      <c r="G49" s="91" t="s">
        <v>116</v>
      </c>
      <c r="H49" s="356" t="s">
        <v>119</v>
      </c>
      <c r="I49" s="268" t="s">
        <v>1109</v>
      </c>
      <c r="J49" s="92" t="s">
        <v>292</v>
      </c>
      <c r="K49" s="355"/>
    </row>
    <row r="50" spans="1:11">
      <c r="A50" s="219">
        <v>3514</v>
      </c>
      <c r="B50" s="106">
        <v>41348</v>
      </c>
      <c r="C50" s="92" t="s">
        <v>464</v>
      </c>
      <c r="D50" s="105">
        <v>40</v>
      </c>
      <c r="E50" s="413">
        <f>D50/'12 - Equity Statement'!$K$10</f>
        <v>6.3807047488395092</v>
      </c>
      <c r="F50" s="92" t="s">
        <v>179</v>
      </c>
      <c r="G50" s="91" t="s">
        <v>132</v>
      </c>
      <c r="H50" s="355" t="s">
        <v>118</v>
      </c>
      <c r="I50" s="268" t="s">
        <v>1109</v>
      </c>
      <c r="J50" s="92" t="s">
        <v>188</v>
      </c>
      <c r="K50" s="355" t="s">
        <v>23</v>
      </c>
    </row>
    <row r="51" spans="1:11">
      <c r="A51" s="219">
        <v>3501</v>
      </c>
      <c r="B51" s="106">
        <v>41353</v>
      </c>
      <c r="C51" s="91" t="s">
        <v>1185</v>
      </c>
      <c r="D51" s="105">
        <v>190</v>
      </c>
      <c r="E51" s="413">
        <f>D51/'12 - Equity Statement'!$K$10</f>
        <v>30.308347556987666</v>
      </c>
      <c r="F51" s="92" t="s">
        <v>303</v>
      </c>
      <c r="G51" s="92" t="s">
        <v>107</v>
      </c>
      <c r="H51" s="355" t="s">
        <v>1071</v>
      </c>
      <c r="I51" s="268" t="s">
        <v>1109</v>
      </c>
      <c r="J51" s="92" t="s">
        <v>188</v>
      </c>
      <c r="K51" s="356" t="s">
        <v>29</v>
      </c>
    </row>
    <row r="52" spans="1:11">
      <c r="A52" s="219">
        <v>3506</v>
      </c>
      <c r="B52" s="106">
        <v>41359</v>
      </c>
      <c r="C52" s="92" t="s">
        <v>378</v>
      </c>
      <c r="D52" s="105">
        <v>81</v>
      </c>
      <c r="E52" s="413">
        <f>D52/'12 - Equity Statement'!$K$10</f>
        <v>12.920927116400005</v>
      </c>
      <c r="F52" s="92" t="s">
        <v>179</v>
      </c>
      <c r="G52" s="91" t="s">
        <v>132</v>
      </c>
      <c r="H52" s="355" t="s">
        <v>1071</v>
      </c>
      <c r="I52" s="268" t="s">
        <v>1109</v>
      </c>
      <c r="J52" s="92" t="s">
        <v>188</v>
      </c>
      <c r="K52" s="355" t="s">
        <v>32</v>
      </c>
    </row>
    <row r="53" spans="1:11">
      <c r="A53" s="219">
        <v>3515</v>
      </c>
      <c r="B53" s="106">
        <v>41359</v>
      </c>
      <c r="C53" s="92" t="s">
        <v>379</v>
      </c>
      <c r="D53" s="105">
        <v>16</v>
      </c>
      <c r="E53" s="413">
        <f>D53/'12 - Equity Statement'!$K$10</f>
        <v>2.5522818995358034</v>
      </c>
      <c r="F53" s="92" t="s">
        <v>179</v>
      </c>
      <c r="G53" s="91" t="s">
        <v>132</v>
      </c>
      <c r="H53" s="355" t="s">
        <v>120</v>
      </c>
      <c r="I53" s="268" t="s">
        <v>1109</v>
      </c>
      <c r="J53" s="92" t="s">
        <v>188</v>
      </c>
      <c r="K53" s="355"/>
    </row>
    <row r="54" spans="1:11">
      <c r="A54" s="219">
        <v>3509</v>
      </c>
      <c r="B54" s="106">
        <v>41360</v>
      </c>
      <c r="C54" s="92" t="s">
        <v>480</v>
      </c>
      <c r="D54" s="105">
        <v>299</v>
      </c>
      <c r="E54" s="413">
        <f>D54/'12 - Equity Statement'!$K$10</f>
        <v>47.695767997575331</v>
      </c>
      <c r="F54" s="92" t="s">
        <v>479</v>
      </c>
      <c r="G54" s="91" t="s">
        <v>114</v>
      </c>
      <c r="H54" s="355" t="s">
        <v>1071</v>
      </c>
      <c r="I54" s="268" t="s">
        <v>1109</v>
      </c>
      <c r="J54" s="92" t="s">
        <v>188</v>
      </c>
      <c r="K54" s="356" t="s">
        <v>29</v>
      </c>
    </row>
    <row r="55" spans="1:11">
      <c r="A55" s="219">
        <v>3508</v>
      </c>
      <c r="B55" s="106">
        <v>41360</v>
      </c>
      <c r="C55" s="92" t="s">
        <v>478</v>
      </c>
      <c r="D55" s="105">
        <v>138</v>
      </c>
      <c r="E55" s="413">
        <f>D55/'12 - Equity Statement'!$K$10</f>
        <v>22.013431383496307</v>
      </c>
      <c r="F55" s="92" t="s">
        <v>479</v>
      </c>
      <c r="G55" s="91" t="s">
        <v>114</v>
      </c>
      <c r="H55" s="355" t="s">
        <v>1071</v>
      </c>
      <c r="I55" s="268" t="s">
        <v>1109</v>
      </c>
      <c r="J55" s="92" t="s">
        <v>188</v>
      </c>
      <c r="K55" s="356" t="s">
        <v>29</v>
      </c>
    </row>
    <row r="56" spans="1:11">
      <c r="A56" s="219">
        <v>3516</v>
      </c>
      <c r="B56" s="106">
        <v>41360</v>
      </c>
      <c r="C56" s="92" t="s">
        <v>481</v>
      </c>
      <c r="D56" s="105">
        <v>20</v>
      </c>
      <c r="E56" s="413">
        <f>D56/'12 - Equity Statement'!$K$10</f>
        <v>3.1903523744197546</v>
      </c>
      <c r="F56" s="92" t="s">
        <v>179</v>
      </c>
      <c r="G56" s="91" t="s">
        <v>132</v>
      </c>
      <c r="H56" s="355" t="s">
        <v>1071</v>
      </c>
      <c r="I56" s="268" t="s">
        <v>1109</v>
      </c>
      <c r="J56" s="92" t="s">
        <v>188</v>
      </c>
      <c r="K56" s="355" t="s">
        <v>29</v>
      </c>
    </row>
    <row r="57" spans="1:11">
      <c r="A57" s="219">
        <v>3519</v>
      </c>
      <c r="B57" s="106">
        <v>41362</v>
      </c>
      <c r="C57" s="92" t="s">
        <v>720</v>
      </c>
      <c r="D57" s="105">
        <v>7500</v>
      </c>
      <c r="E57" s="413">
        <f>D57/'12 - Equity Statement'!$K$10</f>
        <v>1196.3821404074079</v>
      </c>
      <c r="F57" s="92" t="s">
        <v>509</v>
      </c>
      <c r="G57" s="91" t="s">
        <v>51</v>
      </c>
      <c r="H57" s="355" t="s">
        <v>1071</v>
      </c>
      <c r="I57" s="268" t="s">
        <v>1109</v>
      </c>
      <c r="J57" s="92" t="s">
        <v>101</v>
      </c>
      <c r="K57" s="355" t="s">
        <v>32</v>
      </c>
    </row>
    <row r="58" spans="1:11">
      <c r="A58" s="219">
        <v>3518</v>
      </c>
      <c r="B58" s="106">
        <v>41362</v>
      </c>
      <c r="C58" s="92" t="s">
        <v>584</v>
      </c>
      <c r="D58" s="105">
        <v>10000</v>
      </c>
      <c r="E58" s="413">
        <f>D58/'12 - Equity Statement'!$K$10</f>
        <v>1595.1761872098773</v>
      </c>
      <c r="F58" s="92" t="s">
        <v>511</v>
      </c>
      <c r="G58" s="91" t="s">
        <v>51</v>
      </c>
      <c r="H58" s="355" t="s">
        <v>1071</v>
      </c>
      <c r="I58" s="268" t="s">
        <v>1109</v>
      </c>
      <c r="J58" s="91" t="s">
        <v>175</v>
      </c>
      <c r="K58" s="355" t="s">
        <v>29</v>
      </c>
    </row>
    <row r="59" spans="1:11">
      <c r="A59" s="219">
        <v>3521</v>
      </c>
      <c r="B59" s="106">
        <v>41362</v>
      </c>
      <c r="C59" s="92" t="s">
        <v>850</v>
      </c>
      <c r="D59" s="105">
        <v>4200</v>
      </c>
      <c r="E59" s="413">
        <f>D59/'12 - Equity Statement'!$K$10</f>
        <v>669.97399862814848</v>
      </c>
      <c r="F59" s="92" t="s">
        <v>510</v>
      </c>
      <c r="G59" s="91" t="s">
        <v>53</v>
      </c>
      <c r="H59" s="355" t="s">
        <v>1071</v>
      </c>
      <c r="I59" s="268" t="s">
        <v>1109</v>
      </c>
      <c r="J59" s="92" t="s">
        <v>188</v>
      </c>
      <c r="K59" s="356" t="s">
        <v>34</v>
      </c>
    </row>
    <row r="60" spans="1:11">
      <c r="A60" s="219">
        <v>3517</v>
      </c>
      <c r="B60" s="106">
        <v>41362</v>
      </c>
      <c r="C60" s="92" t="s">
        <v>583</v>
      </c>
      <c r="D60" s="105">
        <v>1988.32</v>
      </c>
      <c r="E60" s="413">
        <f>D60/'12 - Equity Statement'!$K$10</f>
        <v>317.17207165531431</v>
      </c>
      <c r="F60" s="92" t="s">
        <v>409</v>
      </c>
      <c r="G60" s="91" t="s">
        <v>52</v>
      </c>
      <c r="H60" s="356" t="s">
        <v>119</v>
      </c>
      <c r="I60" s="268" t="s">
        <v>1109</v>
      </c>
      <c r="J60" s="92" t="s">
        <v>292</v>
      </c>
      <c r="K60" s="355"/>
    </row>
    <row r="61" spans="1:11">
      <c r="A61" s="219">
        <v>3546</v>
      </c>
      <c r="B61" s="106">
        <v>41365</v>
      </c>
      <c r="C61" s="92" t="s">
        <v>752</v>
      </c>
      <c r="D61" s="105">
        <v>109</v>
      </c>
      <c r="E61" s="413">
        <f>D61/'12 - Equity Statement'!$L$10</f>
        <v>17.457038069155494</v>
      </c>
      <c r="F61" s="92" t="s">
        <v>179</v>
      </c>
      <c r="G61" s="91" t="s">
        <v>132</v>
      </c>
      <c r="H61" s="355" t="s">
        <v>1071</v>
      </c>
      <c r="I61" s="268" t="s">
        <v>1109</v>
      </c>
      <c r="J61" s="92" t="s">
        <v>188</v>
      </c>
      <c r="K61" s="355" t="s">
        <v>29</v>
      </c>
    </row>
    <row r="62" spans="1:11">
      <c r="A62" s="219">
        <v>3531</v>
      </c>
      <c r="B62" s="106">
        <v>41366</v>
      </c>
      <c r="C62" s="92" t="s">
        <v>733</v>
      </c>
      <c r="D62" s="105">
        <v>35</v>
      </c>
      <c r="E62" s="413">
        <f>D62/'12 - Equity Statement'!$L$10</f>
        <v>5.6054709396370859</v>
      </c>
      <c r="F62" s="92" t="s">
        <v>609</v>
      </c>
      <c r="G62" s="92" t="s">
        <v>108</v>
      </c>
      <c r="H62" s="355" t="s">
        <v>1071</v>
      </c>
      <c r="I62" s="268" t="s">
        <v>1109</v>
      </c>
      <c r="J62" s="92" t="s">
        <v>188</v>
      </c>
      <c r="K62" s="356" t="s">
        <v>29</v>
      </c>
    </row>
    <row r="63" spans="1:11">
      <c r="A63" s="219">
        <v>3559</v>
      </c>
      <c r="B63" s="106">
        <v>41373</v>
      </c>
      <c r="C63" s="92" t="s">
        <v>419</v>
      </c>
      <c r="D63" s="105">
        <v>480</v>
      </c>
      <c r="E63" s="413">
        <f>D63/'12 - Equity Statement'!$L$10</f>
        <v>76.875030029308604</v>
      </c>
      <c r="F63" s="92" t="s">
        <v>409</v>
      </c>
      <c r="G63" s="91" t="s">
        <v>52</v>
      </c>
      <c r="H63" s="356" t="s">
        <v>119</v>
      </c>
      <c r="I63" s="268" t="s">
        <v>1109</v>
      </c>
      <c r="J63" s="92" t="s">
        <v>292</v>
      </c>
      <c r="K63" s="355"/>
    </row>
    <row r="64" spans="1:11">
      <c r="A64" s="219">
        <v>3560</v>
      </c>
      <c r="B64" s="106">
        <v>41373</v>
      </c>
      <c r="C64" s="92" t="s">
        <v>429</v>
      </c>
      <c r="D64" s="105">
        <v>480</v>
      </c>
      <c r="E64" s="413">
        <f>D64/'12 - Equity Statement'!$L$10</f>
        <v>76.875030029308604</v>
      </c>
      <c r="F64" s="92" t="s">
        <v>409</v>
      </c>
      <c r="G64" s="91" t="s">
        <v>52</v>
      </c>
      <c r="H64" s="355" t="s">
        <v>1071</v>
      </c>
      <c r="I64" s="268" t="s">
        <v>1109</v>
      </c>
      <c r="J64" s="92" t="s">
        <v>292</v>
      </c>
      <c r="K64" s="356" t="s">
        <v>29</v>
      </c>
    </row>
    <row r="65" spans="1:13">
      <c r="A65" s="219">
        <v>3558</v>
      </c>
      <c r="B65" s="106">
        <v>41373</v>
      </c>
      <c r="C65" s="92" t="s">
        <v>418</v>
      </c>
      <c r="D65" s="105">
        <v>488.56</v>
      </c>
      <c r="E65" s="413">
        <f>D65/'12 - Equity Statement'!$L$10</f>
        <v>78.245968064831274</v>
      </c>
      <c r="F65" s="92" t="s">
        <v>181</v>
      </c>
      <c r="G65" s="91" t="s">
        <v>114</v>
      </c>
      <c r="H65" s="355" t="s">
        <v>118</v>
      </c>
      <c r="I65" s="268" t="s">
        <v>1109</v>
      </c>
      <c r="J65" s="92" t="s">
        <v>292</v>
      </c>
      <c r="K65" s="355" t="s">
        <v>23</v>
      </c>
    </row>
    <row r="66" spans="1:13">
      <c r="A66" s="219">
        <v>3536</v>
      </c>
      <c r="B66" s="106">
        <v>41373</v>
      </c>
      <c r="C66" s="92" t="s">
        <v>426</v>
      </c>
      <c r="D66" s="105">
        <v>105</v>
      </c>
      <c r="E66" s="413">
        <f>D66/'12 - Equity Statement'!$L$10</f>
        <v>16.816412818911257</v>
      </c>
      <c r="F66" s="92" t="s">
        <v>403</v>
      </c>
      <c r="G66" s="268" t="s">
        <v>106</v>
      </c>
      <c r="H66" s="355" t="s">
        <v>1071</v>
      </c>
      <c r="I66" s="268" t="s">
        <v>1109</v>
      </c>
      <c r="J66" s="92" t="s">
        <v>188</v>
      </c>
      <c r="K66" s="355" t="s">
        <v>34</v>
      </c>
    </row>
    <row r="67" spans="1:13">
      <c r="A67" s="219">
        <v>3539</v>
      </c>
      <c r="B67" s="106">
        <v>41374</v>
      </c>
      <c r="C67" s="92" t="s">
        <v>431</v>
      </c>
      <c r="D67" s="105">
        <v>69.2</v>
      </c>
      <c r="E67" s="413">
        <f>D67/'12 - Equity Statement'!$L$10</f>
        <v>11.082816829225324</v>
      </c>
      <c r="F67" s="92" t="s">
        <v>403</v>
      </c>
      <c r="G67" s="91" t="s">
        <v>114</v>
      </c>
      <c r="H67" s="355" t="s">
        <v>1071</v>
      </c>
      <c r="I67" s="268" t="s">
        <v>1109</v>
      </c>
      <c r="J67" s="92" t="s">
        <v>188</v>
      </c>
      <c r="K67" s="356" t="s">
        <v>29</v>
      </c>
    </row>
    <row r="68" spans="1:13">
      <c r="A68" s="219">
        <v>3549</v>
      </c>
      <c r="B68" s="106">
        <v>41374</v>
      </c>
      <c r="C68" s="92" t="s">
        <v>330</v>
      </c>
      <c r="D68" s="105">
        <v>43</v>
      </c>
      <c r="E68" s="413">
        <f>D68/'12 - Equity Statement'!$L$10</f>
        <v>6.8867214401255623</v>
      </c>
      <c r="F68" s="92" t="s">
        <v>179</v>
      </c>
      <c r="G68" s="91" t="s">
        <v>132</v>
      </c>
      <c r="H68" s="355" t="s">
        <v>1071</v>
      </c>
      <c r="I68" s="268" t="s">
        <v>1109</v>
      </c>
      <c r="J68" s="92" t="s">
        <v>188</v>
      </c>
      <c r="K68" s="355" t="s">
        <v>29</v>
      </c>
    </row>
    <row r="69" spans="1:13">
      <c r="A69" s="219">
        <v>3547</v>
      </c>
      <c r="B69" s="106">
        <v>41375</v>
      </c>
      <c r="C69" s="92" t="s">
        <v>454</v>
      </c>
      <c r="D69" s="105">
        <v>5120</v>
      </c>
      <c r="E69" s="413">
        <f>D69/'12 - Equity Statement'!$L$10</f>
        <v>820.00032031262515</v>
      </c>
      <c r="F69" s="92" t="s">
        <v>544</v>
      </c>
      <c r="G69" s="92" t="s">
        <v>106</v>
      </c>
      <c r="H69" s="356" t="s">
        <v>119</v>
      </c>
      <c r="I69" s="268" t="s">
        <v>1109</v>
      </c>
      <c r="J69" s="92" t="s">
        <v>188</v>
      </c>
      <c r="K69" s="355"/>
    </row>
    <row r="70" spans="1:13">
      <c r="A70" s="219">
        <v>3554</v>
      </c>
      <c r="B70" s="106">
        <v>41376</v>
      </c>
      <c r="C70" s="92" t="s">
        <v>733</v>
      </c>
      <c r="D70" s="105">
        <v>22</v>
      </c>
      <c r="E70" s="413">
        <f>D70/'12 - Equity Statement'!$L$10</f>
        <v>3.5234388763433109</v>
      </c>
      <c r="F70" s="92" t="s">
        <v>609</v>
      </c>
      <c r="G70" s="91" t="s">
        <v>114</v>
      </c>
      <c r="H70" s="355" t="s">
        <v>118</v>
      </c>
      <c r="I70" s="268" t="s">
        <v>1109</v>
      </c>
      <c r="J70" s="92" t="s">
        <v>188</v>
      </c>
      <c r="K70" s="355" t="s">
        <v>23</v>
      </c>
    </row>
    <row r="71" spans="1:13">
      <c r="A71" s="219">
        <v>3548</v>
      </c>
      <c r="B71" s="106">
        <v>41376</v>
      </c>
      <c r="C71" s="92" t="s">
        <v>545</v>
      </c>
      <c r="D71" s="105">
        <v>38</v>
      </c>
      <c r="E71" s="413">
        <f>D71/'12 - Equity Statement'!$L$10</f>
        <v>6.0859398773202642</v>
      </c>
      <c r="F71" s="92" t="s">
        <v>179</v>
      </c>
      <c r="G71" s="91" t="s">
        <v>132</v>
      </c>
      <c r="H71" s="355" t="s">
        <v>1071</v>
      </c>
      <c r="I71" s="268" t="s">
        <v>1109</v>
      </c>
      <c r="J71" s="92" t="s">
        <v>188</v>
      </c>
      <c r="K71" s="355" t="s">
        <v>29</v>
      </c>
    </row>
    <row r="72" spans="1:13">
      <c r="A72" s="219">
        <v>3556</v>
      </c>
      <c r="B72" s="106">
        <v>41378</v>
      </c>
      <c r="C72" s="92" t="s">
        <v>338</v>
      </c>
      <c r="D72" s="105">
        <v>1014</v>
      </c>
      <c r="E72" s="413">
        <f>D72/'12 - Equity Statement'!$L$10</f>
        <v>162.39850093691442</v>
      </c>
      <c r="F72" s="92" t="s">
        <v>638</v>
      </c>
      <c r="G72" s="91" t="s">
        <v>114</v>
      </c>
      <c r="H72" s="355" t="s">
        <v>1071</v>
      </c>
      <c r="I72" s="268" t="s">
        <v>1109</v>
      </c>
      <c r="J72" s="92" t="s">
        <v>101</v>
      </c>
      <c r="K72" s="356" t="s">
        <v>29</v>
      </c>
    </row>
    <row r="73" spans="1:13">
      <c r="A73" s="219">
        <v>3565</v>
      </c>
      <c r="B73" s="106">
        <v>41380</v>
      </c>
      <c r="C73" s="92" t="s">
        <v>779</v>
      </c>
      <c r="D73" s="105">
        <v>19</v>
      </c>
      <c r="E73" s="413">
        <f>D73/'12 - Equity Statement'!$L$10</f>
        <v>3.0429699386601321</v>
      </c>
      <c r="F73" s="92" t="s">
        <v>179</v>
      </c>
      <c r="G73" s="91" t="s">
        <v>132</v>
      </c>
      <c r="H73" s="355" t="s">
        <v>1071</v>
      </c>
      <c r="I73" s="268" t="s">
        <v>1109</v>
      </c>
      <c r="J73" s="92" t="s">
        <v>188</v>
      </c>
      <c r="K73" s="355" t="s">
        <v>29</v>
      </c>
    </row>
    <row r="74" spans="1:13">
      <c r="A74" s="219">
        <v>3571</v>
      </c>
      <c r="B74" s="106">
        <v>41381</v>
      </c>
      <c r="C74" s="92" t="s">
        <v>569</v>
      </c>
      <c r="D74" s="105">
        <v>173.6</v>
      </c>
      <c r="E74" s="413">
        <f>D74/'12 - Equity Statement'!$L$10</f>
        <v>27.803135860599944</v>
      </c>
      <c r="F74" s="92" t="s">
        <v>563</v>
      </c>
      <c r="G74" s="91" t="s">
        <v>114</v>
      </c>
      <c r="H74" s="355" t="s">
        <v>118</v>
      </c>
      <c r="I74" s="268" t="s">
        <v>1109</v>
      </c>
      <c r="J74" s="92" t="s">
        <v>292</v>
      </c>
      <c r="K74" s="355" t="s">
        <v>23</v>
      </c>
    </row>
    <row r="75" spans="1:13">
      <c r="A75" s="219">
        <v>3562</v>
      </c>
      <c r="B75" s="106">
        <v>41381</v>
      </c>
      <c r="C75" s="92" t="s">
        <v>734</v>
      </c>
      <c r="D75" s="105">
        <v>49</v>
      </c>
      <c r="E75" s="413">
        <f>D75/'12 - Equity Statement'!$L$10</f>
        <v>7.8476593154919199</v>
      </c>
      <c r="F75" s="92" t="s">
        <v>179</v>
      </c>
      <c r="G75" s="91" t="s">
        <v>132</v>
      </c>
      <c r="H75" s="355" t="s">
        <v>120</v>
      </c>
      <c r="I75" s="268" t="s">
        <v>1109</v>
      </c>
      <c r="J75" s="92" t="s">
        <v>188</v>
      </c>
      <c r="K75" s="355"/>
    </row>
    <row r="76" spans="1:13">
      <c r="A76" s="219">
        <v>3572</v>
      </c>
      <c r="B76" s="106">
        <v>41382</v>
      </c>
      <c r="C76" s="92" t="s">
        <v>837</v>
      </c>
      <c r="D76" s="105">
        <v>955.68</v>
      </c>
      <c r="E76" s="413">
        <f>D76/'12 - Equity Statement'!$L$10</f>
        <v>153.05818478835343</v>
      </c>
      <c r="F76" s="92" t="s">
        <v>303</v>
      </c>
      <c r="G76" s="91" t="s">
        <v>116</v>
      </c>
      <c r="H76" s="356" t="s">
        <v>119</v>
      </c>
      <c r="I76" s="268" t="s">
        <v>1109</v>
      </c>
      <c r="J76" s="92" t="s">
        <v>292</v>
      </c>
      <c r="K76" s="355"/>
    </row>
    <row r="77" spans="1:13">
      <c r="A77" s="219">
        <v>3567</v>
      </c>
      <c r="B77" s="106">
        <v>41382</v>
      </c>
      <c r="C77" s="92" t="s">
        <v>736</v>
      </c>
      <c r="D77" s="105">
        <v>120</v>
      </c>
      <c r="E77" s="413">
        <f>D77/'12 - Equity Statement'!$L$10</f>
        <v>19.218757507327151</v>
      </c>
      <c r="F77" s="92" t="s">
        <v>737</v>
      </c>
      <c r="G77" s="92" t="s">
        <v>108</v>
      </c>
      <c r="H77" s="355" t="s">
        <v>1071</v>
      </c>
      <c r="I77" s="268" t="s">
        <v>1109</v>
      </c>
      <c r="J77" s="92" t="s">
        <v>188</v>
      </c>
      <c r="K77" s="356" t="s">
        <v>29</v>
      </c>
    </row>
    <row r="78" spans="1:13" ht="15">
      <c r="A78" s="219">
        <v>3585</v>
      </c>
      <c r="B78" s="106">
        <v>41383</v>
      </c>
      <c r="C78" s="92" t="s">
        <v>838</v>
      </c>
      <c r="D78" s="423"/>
      <c r="E78" s="413">
        <v>70.150000000000006</v>
      </c>
      <c r="F78" s="92" t="s">
        <v>680</v>
      </c>
      <c r="G78" s="92" t="s">
        <v>106</v>
      </c>
      <c r="H78" s="355" t="s">
        <v>1071</v>
      </c>
      <c r="I78" s="268" t="s">
        <v>1109</v>
      </c>
      <c r="J78" s="92" t="s">
        <v>102</v>
      </c>
      <c r="K78" s="355" t="s">
        <v>34</v>
      </c>
    </row>
    <row r="79" spans="1:13">
      <c r="A79" s="219">
        <v>3568</v>
      </c>
      <c r="B79" s="106">
        <v>41385</v>
      </c>
      <c r="C79" s="92" t="s">
        <v>681</v>
      </c>
      <c r="D79" s="105">
        <v>62</v>
      </c>
      <c r="E79" s="413">
        <f>D79/'12 - Equity Statement'!$L$10</f>
        <v>9.9296913787856944</v>
      </c>
      <c r="F79" s="92" t="s">
        <v>179</v>
      </c>
      <c r="G79" s="91" t="s">
        <v>132</v>
      </c>
      <c r="H79" s="355" t="s">
        <v>120</v>
      </c>
      <c r="I79" s="268" t="s">
        <v>1109</v>
      </c>
      <c r="J79" s="92" t="s">
        <v>188</v>
      </c>
      <c r="K79" s="355"/>
    </row>
    <row r="80" spans="1:13">
      <c r="A80" s="219">
        <v>3589</v>
      </c>
      <c r="B80" s="106">
        <v>41392</v>
      </c>
      <c r="C80" s="92" t="s">
        <v>678</v>
      </c>
      <c r="D80" s="105">
        <v>7500</v>
      </c>
      <c r="E80" s="413">
        <f>D80/'12 - Equity Statement'!$L$10</f>
        <v>1201.1723442079469</v>
      </c>
      <c r="F80" s="92" t="s">
        <v>509</v>
      </c>
      <c r="G80" s="91" t="s">
        <v>51</v>
      </c>
      <c r="H80" s="356" t="s">
        <v>119</v>
      </c>
      <c r="I80" s="268" t="s">
        <v>1109</v>
      </c>
      <c r="J80" s="92" t="s">
        <v>188</v>
      </c>
      <c r="K80" s="355"/>
      <c r="M80" s="218">
        <f>SUM(E80:E221)</f>
        <v>56357.818585594803</v>
      </c>
    </row>
    <row r="81" spans="1:11">
      <c r="A81" s="219">
        <v>3588</v>
      </c>
      <c r="B81" s="106">
        <v>41392</v>
      </c>
      <c r="C81" s="92" t="s">
        <v>790</v>
      </c>
      <c r="D81" s="105">
        <v>10000</v>
      </c>
      <c r="E81" s="413">
        <f>D81/'12 - Equity Statement'!$L$10</f>
        <v>1601.563125610596</v>
      </c>
      <c r="F81" s="92" t="s">
        <v>511</v>
      </c>
      <c r="G81" s="91" t="s">
        <v>51</v>
      </c>
      <c r="H81" s="355" t="s">
        <v>1071</v>
      </c>
      <c r="I81" s="268" t="s">
        <v>1109</v>
      </c>
      <c r="J81" s="91" t="s">
        <v>175</v>
      </c>
      <c r="K81" s="355" t="s">
        <v>29</v>
      </c>
    </row>
    <row r="82" spans="1:11">
      <c r="A82" s="219">
        <v>3591</v>
      </c>
      <c r="B82" s="106">
        <v>41392</v>
      </c>
      <c r="C82" s="92" t="s">
        <v>571</v>
      </c>
      <c r="D82" s="105">
        <v>4200</v>
      </c>
      <c r="E82" s="413">
        <f>D82/'12 - Equity Statement'!$L$10</f>
        <v>672.6565127564503</v>
      </c>
      <c r="F82" s="92" t="s">
        <v>510</v>
      </c>
      <c r="G82" s="91" t="s">
        <v>53</v>
      </c>
      <c r="H82" s="355" t="s">
        <v>1071</v>
      </c>
      <c r="I82" s="268" t="s">
        <v>1109</v>
      </c>
      <c r="J82" s="92" t="s">
        <v>188</v>
      </c>
      <c r="K82" s="356" t="s">
        <v>34</v>
      </c>
    </row>
    <row r="83" spans="1:11">
      <c r="A83" s="219">
        <v>3612</v>
      </c>
      <c r="B83" s="106">
        <v>41396</v>
      </c>
      <c r="C83" s="92" t="s">
        <v>466</v>
      </c>
      <c r="D83" s="105">
        <v>1018.08</v>
      </c>
      <c r="E83" s="413">
        <f>D83/'12 - Equity Statement'!$M$10</f>
        <v>166.3910044781486</v>
      </c>
      <c r="F83" s="92" t="s">
        <v>409</v>
      </c>
      <c r="G83" s="91" t="s">
        <v>52</v>
      </c>
      <c r="H83" s="356" t="s">
        <v>119</v>
      </c>
      <c r="I83" s="268" t="s">
        <v>1109</v>
      </c>
      <c r="J83" s="92" t="s">
        <v>292</v>
      </c>
      <c r="K83" s="355"/>
    </row>
    <row r="84" spans="1:11">
      <c r="A84" s="219">
        <v>3613</v>
      </c>
      <c r="B84" s="106">
        <v>41400</v>
      </c>
      <c r="C84" s="92" t="s">
        <v>467</v>
      </c>
      <c r="D84" s="105">
        <v>1988.32</v>
      </c>
      <c r="E84" s="413">
        <f>D84/'12 - Equity Statement'!$M$10</f>
        <v>324.96322688196648</v>
      </c>
      <c r="F84" s="92" t="s">
        <v>409</v>
      </c>
      <c r="G84" s="91" t="s">
        <v>52</v>
      </c>
      <c r="H84" s="356" t="s">
        <v>119</v>
      </c>
      <c r="I84" s="268" t="s">
        <v>1109</v>
      </c>
      <c r="J84" s="92" t="s">
        <v>292</v>
      </c>
      <c r="K84" s="355"/>
    </row>
    <row r="85" spans="1:11">
      <c r="A85" s="219">
        <v>3642</v>
      </c>
      <c r="B85" s="106">
        <v>41403</v>
      </c>
      <c r="C85" s="92" t="s">
        <v>470</v>
      </c>
      <c r="D85" s="105">
        <v>18050</v>
      </c>
      <c r="E85" s="413">
        <f>D85/'12 - Equity Statement'!$M$10</f>
        <v>2950.0212466904195</v>
      </c>
      <c r="F85" s="92" t="s">
        <v>471</v>
      </c>
      <c r="G85" s="92" t="s">
        <v>107</v>
      </c>
      <c r="H85" s="355" t="s">
        <v>1071</v>
      </c>
      <c r="I85" s="268" t="s">
        <v>1109</v>
      </c>
      <c r="J85" s="92" t="s">
        <v>188</v>
      </c>
      <c r="K85" s="356" t="s">
        <v>29</v>
      </c>
    </row>
    <row r="86" spans="1:11">
      <c r="A86" s="219">
        <v>3645</v>
      </c>
      <c r="B86" s="106">
        <v>41403</v>
      </c>
      <c r="C86" s="92" t="s">
        <v>473</v>
      </c>
      <c r="D86" s="105">
        <v>23</v>
      </c>
      <c r="E86" s="413">
        <f>D86/'12 - Equity Statement'!$M$10</f>
        <v>3.7590298434282352</v>
      </c>
      <c r="F86" s="92" t="s">
        <v>179</v>
      </c>
      <c r="G86" s="91" t="s">
        <v>132</v>
      </c>
      <c r="H86" s="355" t="s">
        <v>120</v>
      </c>
      <c r="I86" s="268" t="s">
        <v>1109</v>
      </c>
      <c r="J86" s="92" t="s">
        <v>188</v>
      </c>
      <c r="K86" s="355"/>
    </row>
    <row r="87" spans="1:11">
      <c r="A87" s="219">
        <v>3650</v>
      </c>
      <c r="B87" s="106">
        <v>41403</v>
      </c>
      <c r="C87" s="92" t="s">
        <v>474</v>
      </c>
      <c r="D87" s="105">
        <v>52</v>
      </c>
      <c r="E87" s="413">
        <f>D87/'12 - Equity Statement'!$M$10</f>
        <v>8.4986761677507925</v>
      </c>
      <c r="F87" s="92" t="s">
        <v>475</v>
      </c>
      <c r="G87" s="92" t="s">
        <v>106</v>
      </c>
      <c r="H87" s="355" t="s">
        <v>1071</v>
      </c>
      <c r="I87" s="268" t="s">
        <v>1109</v>
      </c>
      <c r="J87" s="92" t="s">
        <v>188</v>
      </c>
      <c r="K87" s="355" t="s">
        <v>34</v>
      </c>
    </row>
    <row r="88" spans="1:11">
      <c r="A88" s="219">
        <v>3614</v>
      </c>
      <c r="B88" s="106">
        <v>41404</v>
      </c>
      <c r="C88" s="92" t="s">
        <v>558</v>
      </c>
      <c r="D88" s="105">
        <v>311.13</v>
      </c>
      <c r="E88" s="413">
        <f>D88/'12 - Equity Statement'!$M$10</f>
        <v>50.849867616775079</v>
      </c>
      <c r="F88" s="92" t="s">
        <v>181</v>
      </c>
      <c r="G88" s="91" t="s">
        <v>114</v>
      </c>
      <c r="H88" s="355" t="s">
        <v>1071</v>
      </c>
      <c r="I88" s="268" t="s">
        <v>1109</v>
      </c>
      <c r="J88" s="92" t="s">
        <v>292</v>
      </c>
      <c r="K88" s="356" t="s">
        <v>29</v>
      </c>
    </row>
    <row r="89" spans="1:11">
      <c r="A89" s="219">
        <v>3616</v>
      </c>
      <c r="B89" s="106">
        <v>41405</v>
      </c>
      <c r="C89" s="92" t="s">
        <v>702</v>
      </c>
      <c r="D89" s="105">
        <v>480</v>
      </c>
      <c r="E89" s="413">
        <f>D89/'12 - Equity Statement'!$M$10</f>
        <v>78.44931847154578</v>
      </c>
      <c r="F89" s="92" t="s">
        <v>409</v>
      </c>
      <c r="G89" s="91" t="s">
        <v>52</v>
      </c>
      <c r="H89" s="356" t="s">
        <v>119</v>
      </c>
      <c r="I89" s="268" t="s">
        <v>1109</v>
      </c>
      <c r="J89" s="92" t="s">
        <v>292</v>
      </c>
      <c r="K89" s="355"/>
    </row>
    <row r="90" spans="1:11">
      <c r="A90" s="219">
        <v>3617</v>
      </c>
      <c r="B90" s="106">
        <v>41405</v>
      </c>
      <c r="C90" s="92" t="s">
        <v>377</v>
      </c>
      <c r="D90" s="105">
        <v>480</v>
      </c>
      <c r="E90" s="413">
        <f>D90/'12 - Equity Statement'!$M$10</f>
        <v>78.44931847154578</v>
      </c>
      <c r="F90" s="92" t="s">
        <v>409</v>
      </c>
      <c r="G90" s="91" t="s">
        <v>52</v>
      </c>
      <c r="H90" s="355" t="s">
        <v>1071</v>
      </c>
      <c r="I90" s="268" t="s">
        <v>1109</v>
      </c>
      <c r="J90" s="92" t="s">
        <v>292</v>
      </c>
      <c r="K90" s="356" t="s">
        <v>29</v>
      </c>
    </row>
    <row r="91" spans="1:11">
      <c r="A91" s="219">
        <v>3615</v>
      </c>
      <c r="B91" s="106">
        <v>41405</v>
      </c>
      <c r="C91" s="92" t="s">
        <v>186</v>
      </c>
      <c r="D91" s="105">
        <v>173.6</v>
      </c>
      <c r="E91" s="413">
        <f>D91/'12 - Equity Statement'!$M$10</f>
        <v>28.372503513875724</v>
      </c>
      <c r="F91" s="92" t="s">
        <v>302</v>
      </c>
      <c r="G91" s="91" t="s">
        <v>114</v>
      </c>
      <c r="H91" s="355" t="s">
        <v>1071</v>
      </c>
      <c r="I91" s="268" t="s">
        <v>1109</v>
      </c>
      <c r="J91" s="92" t="s">
        <v>292</v>
      </c>
      <c r="K91" s="356" t="s">
        <v>29</v>
      </c>
    </row>
    <row r="92" spans="1:11">
      <c r="A92" s="219">
        <v>3618</v>
      </c>
      <c r="B92" s="106">
        <v>41408</v>
      </c>
      <c r="C92" s="92" t="s">
        <v>578</v>
      </c>
      <c r="D92" s="105">
        <v>955.68</v>
      </c>
      <c r="E92" s="413">
        <f>D92/'12 - Equity Statement'!$M$10</f>
        <v>156.19259307684763</v>
      </c>
      <c r="F92" s="92" t="s">
        <v>303</v>
      </c>
      <c r="G92" s="91" t="s">
        <v>116</v>
      </c>
      <c r="H92" s="356" t="s">
        <v>119</v>
      </c>
      <c r="I92" s="268" t="s">
        <v>1109</v>
      </c>
      <c r="J92" s="92" t="s">
        <v>292</v>
      </c>
      <c r="K92" s="355"/>
    </row>
    <row r="93" spans="1:11">
      <c r="A93" s="219">
        <v>3606</v>
      </c>
      <c r="B93" s="106">
        <v>41408</v>
      </c>
      <c r="C93" s="92" t="s">
        <v>576</v>
      </c>
      <c r="D93" s="105">
        <v>586</v>
      </c>
      <c r="E93" s="413">
        <f>D93/'12 - Equity Statement'!$M$10</f>
        <v>95.773542967345477</v>
      </c>
      <c r="F93" s="92" t="s">
        <v>577</v>
      </c>
      <c r="G93" s="91" t="s">
        <v>114</v>
      </c>
      <c r="H93" s="355" t="s">
        <v>1071</v>
      </c>
      <c r="I93" s="268" t="s">
        <v>1109</v>
      </c>
      <c r="J93" s="92" t="s">
        <v>188</v>
      </c>
      <c r="K93" s="356" t="s">
        <v>29</v>
      </c>
    </row>
    <row r="94" spans="1:11">
      <c r="A94" s="219">
        <v>3649</v>
      </c>
      <c r="B94" s="106">
        <v>41410</v>
      </c>
      <c r="C94" s="92" t="s">
        <v>703</v>
      </c>
      <c r="D94" s="105">
        <v>1774</v>
      </c>
      <c r="E94" s="413">
        <f>D94/'12 - Equity Statement'!$M$10</f>
        <v>289.93560618442126</v>
      </c>
      <c r="F94" s="92" t="s">
        <v>559</v>
      </c>
      <c r="G94" s="91" t="s">
        <v>132</v>
      </c>
      <c r="H94" s="356" t="s">
        <v>119</v>
      </c>
      <c r="I94" s="268" t="s">
        <v>1109</v>
      </c>
      <c r="J94" s="92" t="s">
        <v>188</v>
      </c>
      <c r="K94" s="356"/>
    </row>
    <row r="95" spans="1:11">
      <c r="A95" s="219">
        <v>3609</v>
      </c>
      <c r="B95" s="106">
        <v>41410</v>
      </c>
      <c r="C95" s="92" t="s">
        <v>580</v>
      </c>
      <c r="D95" s="105">
        <v>31</v>
      </c>
      <c r="E95" s="413">
        <f>D95/'12 - Equity Statement'!$M$10</f>
        <v>5.0665184846206648</v>
      </c>
      <c r="F95" s="92" t="s">
        <v>179</v>
      </c>
      <c r="G95" s="91" t="s">
        <v>132</v>
      </c>
      <c r="H95" s="356" t="s">
        <v>119</v>
      </c>
      <c r="I95" s="268" t="s">
        <v>1109</v>
      </c>
      <c r="J95" s="92" t="s">
        <v>188</v>
      </c>
      <c r="K95" s="355"/>
    </row>
    <row r="96" spans="1:11">
      <c r="A96" s="219">
        <v>3646</v>
      </c>
      <c r="B96" s="106">
        <v>41410</v>
      </c>
      <c r="C96" s="92" t="s">
        <v>581</v>
      </c>
      <c r="D96" s="105">
        <v>111</v>
      </c>
      <c r="E96" s="413">
        <f>D96/'12 - Equity Statement'!$M$10</f>
        <v>18.141404896544962</v>
      </c>
      <c r="F96" s="92" t="s">
        <v>179</v>
      </c>
      <c r="G96" s="91" t="s">
        <v>132</v>
      </c>
      <c r="H96" s="356" t="s">
        <v>119</v>
      </c>
      <c r="I96" s="268" t="s">
        <v>1109</v>
      </c>
      <c r="J96" s="92" t="s">
        <v>188</v>
      </c>
      <c r="K96" s="355"/>
    </row>
    <row r="97" spans="1:11">
      <c r="A97" s="219">
        <v>3607</v>
      </c>
      <c r="B97" s="106">
        <v>41411</v>
      </c>
      <c r="C97" s="92" t="s">
        <v>704</v>
      </c>
      <c r="D97" s="105">
        <v>347</v>
      </c>
      <c r="E97" s="413">
        <f>D97/'12 - Equity Statement'!$M$10</f>
        <v>56.712319811721635</v>
      </c>
      <c r="F97" s="92" t="s">
        <v>705</v>
      </c>
      <c r="G97" s="91" t="s">
        <v>114</v>
      </c>
      <c r="H97" s="355" t="s">
        <v>1071</v>
      </c>
      <c r="I97" s="268" t="s">
        <v>1109</v>
      </c>
      <c r="J97" s="92" t="s">
        <v>188</v>
      </c>
      <c r="K97" s="356" t="s">
        <v>29</v>
      </c>
    </row>
    <row r="98" spans="1:11">
      <c r="A98" s="219">
        <v>3647</v>
      </c>
      <c r="B98" s="106">
        <v>41411</v>
      </c>
      <c r="C98" s="92" t="s">
        <v>706</v>
      </c>
      <c r="D98" s="105">
        <v>72</v>
      </c>
      <c r="E98" s="413">
        <f>D98/'12 - Equity Statement'!$M$10</f>
        <v>11.767397770731867</v>
      </c>
      <c r="F98" s="92" t="s">
        <v>179</v>
      </c>
      <c r="G98" s="91" t="s">
        <v>132</v>
      </c>
      <c r="H98" s="355" t="s">
        <v>1071</v>
      </c>
      <c r="I98" s="268" t="s">
        <v>1109</v>
      </c>
      <c r="J98" s="92" t="s">
        <v>188</v>
      </c>
      <c r="K98" s="355" t="s">
        <v>29</v>
      </c>
    </row>
    <row r="99" spans="1:11">
      <c r="A99" s="219">
        <v>3648</v>
      </c>
      <c r="B99" s="106">
        <v>41411</v>
      </c>
      <c r="C99" s="92" t="s">
        <v>719</v>
      </c>
      <c r="D99" s="105">
        <v>59</v>
      </c>
      <c r="E99" s="413">
        <f>D99/'12 - Equity Statement'!$M$10</f>
        <v>9.6427287287941681</v>
      </c>
      <c r="F99" s="92" t="s">
        <v>179</v>
      </c>
      <c r="G99" s="91" t="s">
        <v>132</v>
      </c>
      <c r="H99" s="356" t="s">
        <v>119</v>
      </c>
      <c r="I99" s="268" t="s">
        <v>1109</v>
      </c>
      <c r="J99" s="92" t="s">
        <v>188</v>
      </c>
      <c r="K99" s="355"/>
    </row>
    <row r="100" spans="1:11">
      <c r="A100" s="219">
        <v>3608</v>
      </c>
      <c r="B100" s="106">
        <v>41415</v>
      </c>
      <c r="C100" s="92" t="s">
        <v>534</v>
      </c>
      <c r="D100" s="105">
        <v>38</v>
      </c>
      <c r="E100" s="413">
        <f>D100/'12 - Equity Statement'!$M$10</f>
        <v>6.2105710456640413</v>
      </c>
      <c r="F100" s="92" t="s">
        <v>535</v>
      </c>
      <c r="G100" s="91" t="s">
        <v>132</v>
      </c>
      <c r="H100" s="356" t="s">
        <v>119</v>
      </c>
      <c r="I100" s="268" t="s">
        <v>1109</v>
      </c>
      <c r="J100" s="92" t="s">
        <v>188</v>
      </c>
      <c r="K100" s="355"/>
    </row>
    <row r="101" spans="1:11">
      <c r="A101" s="219">
        <v>3619</v>
      </c>
      <c r="B101" s="106">
        <v>41417</v>
      </c>
      <c r="C101" s="92" t="s">
        <v>623</v>
      </c>
      <c r="D101" s="105">
        <v>65</v>
      </c>
      <c r="E101" s="413">
        <f>D101/'12 - Equity Statement'!$M$10</f>
        <v>10.623345209688491</v>
      </c>
      <c r="F101" s="92" t="s">
        <v>179</v>
      </c>
      <c r="G101" s="91" t="s">
        <v>132</v>
      </c>
      <c r="H101" s="356" t="s">
        <v>119</v>
      </c>
      <c r="I101" s="268" t="s">
        <v>1109</v>
      </c>
      <c r="J101" s="92" t="s">
        <v>188</v>
      </c>
      <c r="K101" s="355"/>
    </row>
    <row r="102" spans="1:11">
      <c r="A102" s="219">
        <v>3644</v>
      </c>
      <c r="B102" s="106">
        <v>41418</v>
      </c>
      <c r="C102" s="92" t="s">
        <v>625</v>
      </c>
      <c r="D102" s="105">
        <v>36</v>
      </c>
      <c r="E102" s="413">
        <f>D102/'12 - Equity Statement'!$M$10</f>
        <v>5.8836988853659333</v>
      </c>
      <c r="F102" s="92" t="s">
        <v>179</v>
      </c>
      <c r="G102" s="91" t="s">
        <v>132</v>
      </c>
      <c r="H102" s="356" t="s">
        <v>119</v>
      </c>
      <c r="I102" s="268" t="s">
        <v>1109</v>
      </c>
      <c r="J102" s="92" t="s">
        <v>188</v>
      </c>
      <c r="K102" s="355"/>
    </row>
    <row r="103" spans="1:11">
      <c r="A103" s="219">
        <v>3622</v>
      </c>
      <c r="B103" s="106">
        <v>41418</v>
      </c>
      <c r="C103" s="92" t="s">
        <v>624</v>
      </c>
      <c r="D103" s="105">
        <v>39</v>
      </c>
      <c r="E103" s="413">
        <f>D103/'12 - Equity Statement'!$M$10</f>
        <v>6.3740071258130948</v>
      </c>
      <c r="F103" s="92" t="s">
        <v>535</v>
      </c>
      <c r="G103" s="91" t="s">
        <v>132</v>
      </c>
      <c r="H103" s="356" t="s">
        <v>119</v>
      </c>
      <c r="I103" s="268" t="s">
        <v>1109</v>
      </c>
      <c r="J103" s="92" t="s">
        <v>188</v>
      </c>
      <c r="K103" s="355"/>
    </row>
    <row r="104" spans="1:11">
      <c r="A104" s="219">
        <v>3620</v>
      </c>
      <c r="B104" s="106">
        <v>41421</v>
      </c>
      <c r="C104" s="92" t="s">
        <v>626</v>
      </c>
      <c r="D104" s="105">
        <v>590</v>
      </c>
      <c r="E104" s="413">
        <f>D104/'12 - Equity Statement'!$M$10</f>
        <v>96.427287287941695</v>
      </c>
      <c r="F104" s="92" t="s">
        <v>627</v>
      </c>
      <c r="G104" s="92" t="s">
        <v>108</v>
      </c>
      <c r="H104" s="355" t="s">
        <v>1071</v>
      </c>
      <c r="I104" s="268" t="s">
        <v>1109</v>
      </c>
      <c r="J104" s="92" t="s">
        <v>188</v>
      </c>
      <c r="K104" s="356" t="s">
        <v>29</v>
      </c>
    </row>
    <row r="105" spans="1:11">
      <c r="A105" s="219">
        <v>3621</v>
      </c>
      <c r="B105" s="106">
        <v>41421</v>
      </c>
      <c r="C105" s="92" t="s">
        <v>733</v>
      </c>
      <c r="D105" s="105">
        <v>22</v>
      </c>
      <c r="E105" s="413">
        <f>D105/'12 - Equity Statement'!$M$10</f>
        <v>3.5955937632791817</v>
      </c>
      <c r="F105" s="92" t="s">
        <v>609</v>
      </c>
      <c r="G105" s="91" t="s">
        <v>114</v>
      </c>
      <c r="H105" s="355" t="s">
        <v>1071</v>
      </c>
      <c r="I105" s="268" t="s">
        <v>1109</v>
      </c>
      <c r="J105" s="92" t="s">
        <v>188</v>
      </c>
      <c r="K105" s="356" t="s">
        <v>29</v>
      </c>
    </row>
    <row r="106" spans="1:11">
      <c r="A106" s="219">
        <v>3626</v>
      </c>
      <c r="B106" s="106">
        <v>41424</v>
      </c>
      <c r="C106" s="92" t="s">
        <v>733</v>
      </c>
      <c r="D106" s="105">
        <v>13</v>
      </c>
      <c r="E106" s="413">
        <f>D106/'12 - Equity Statement'!$M$10</f>
        <v>2.1246690419376981</v>
      </c>
      <c r="F106" s="92" t="s">
        <v>609</v>
      </c>
      <c r="G106" s="91" t="s">
        <v>114</v>
      </c>
      <c r="H106" s="355" t="s">
        <v>1071</v>
      </c>
      <c r="I106" s="268" t="s">
        <v>1109</v>
      </c>
      <c r="J106" s="92" t="s">
        <v>188</v>
      </c>
      <c r="K106" s="356" t="s">
        <v>29</v>
      </c>
    </row>
    <row r="107" spans="1:11">
      <c r="A107" s="219">
        <v>3630</v>
      </c>
      <c r="B107" s="106">
        <v>41425</v>
      </c>
      <c r="C107" s="92" t="s">
        <v>532</v>
      </c>
      <c r="D107" s="105">
        <v>7500</v>
      </c>
      <c r="E107" s="413">
        <f>D107/'12 - Equity Statement'!$M$10</f>
        <v>1225.7706011179027</v>
      </c>
      <c r="F107" s="92" t="s">
        <v>427</v>
      </c>
      <c r="G107" s="91" t="s">
        <v>51</v>
      </c>
      <c r="H107" s="356" t="s">
        <v>119</v>
      </c>
      <c r="I107" s="268" t="s">
        <v>1109</v>
      </c>
      <c r="J107" s="92" t="s">
        <v>188</v>
      </c>
      <c r="K107" s="355"/>
    </row>
    <row r="108" spans="1:11">
      <c r="A108" s="219">
        <v>3629</v>
      </c>
      <c r="B108" s="106">
        <v>41425</v>
      </c>
      <c r="C108" s="92" t="s">
        <v>531</v>
      </c>
      <c r="D108" s="105">
        <v>10000</v>
      </c>
      <c r="E108" s="413">
        <f>D108/'12 - Equity Statement'!$M$10</f>
        <v>1634.3608014905371</v>
      </c>
      <c r="F108" s="92" t="s">
        <v>511</v>
      </c>
      <c r="G108" s="91" t="s">
        <v>51</v>
      </c>
      <c r="H108" s="355" t="s">
        <v>118</v>
      </c>
      <c r="I108" s="268" t="s">
        <v>1109</v>
      </c>
      <c r="J108" s="91" t="s">
        <v>175</v>
      </c>
      <c r="K108" s="355" t="s">
        <v>23</v>
      </c>
    </row>
    <row r="109" spans="1:11">
      <c r="A109" s="219">
        <v>3632</v>
      </c>
      <c r="B109" s="106">
        <v>41425</v>
      </c>
      <c r="C109" s="92" t="s">
        <v>688</v>
      </c>
      <c r="D109" s="105">
        <v>4200</v>
      </c>
      <c r="E109" s="413">
        <f>D109/'12 - Equity Statement'!$M$10</f>
        <v>686.4315366260256</v>
      </c>
      <c r="F109" s="92" t="s">
        <v>375</v>
      </c>
      <c r="G109" s="91" t="s">
        <v>53</v>
      </c>
      <c r="H109" s="355" t="s">
        <v>1071</v>
      </c>
      <c r="I109" s="268" t="s">
        <v>1109</v>
      </c>
      <c r="J109" s="92" t="s">
        <v>188</v>
      </c>
      <c r="K109" s="356" t="s">
        <v>34</v>
      </c>
    </row>
    <row r="110" spans="1:11">
      <c r="A110" s="219">
        <v>3641</v>
      </c>
      <c r="B110" s="106">
        <v>41425</v>
      </c>
      <c r="C110" s="92" t="s">
        <v>472</v>
      </c>
      <c r="D110" s="105">
        <v>1018.08</v>
      </c>
      <c r="E110" s="413">
        <f>D110/'12 - Equity Statement'!$M$10</f>
        <v>166.3910044781486</v>
      </c>
      <c r="F110" s="92" t="s">
        <v>409</v>
      </c>
      <c r="G110" s="91" t="s">
        <v>52</v>
      </c>
      <c r="H110" s="356" t="s">
        <v>119</v>
      </c>
      <c r="I110" s="268" t="s">
        <v>1109</v>
      </c>
      <c r="J110" s="92" t="s">
        <v>292</v>
      </c>
      <c r="K110" s="355"/>
    </row>
    <row r="111" spans="1:11">
      <c r="A111" s="219">
        <v>3687</v>
      </c>
      <c r="B111" s="106">
        <v>41429</v>
      </c>
      <c r="C111" s="92" t="s">
        <v>648</v>
      </c>
      <c r="D111" s="105">
        <v>20</v>
      </c>
      <c r="E111" s="413">
        <f>D111/'12 - Equity Statement'!$N$10</f>
        <v>3.3044196612969845</v>
      </c>
      <c r="F111" s="92" t="s">
        <v>403</v>
      </c>
      <c r="G111" s="91" t="s">
        <v>114</v>
      </c>
      <c r="H111" s="355" t="s">
        <v>1071</v>
      </c>
      <c r="I111" s="268" t="s">
        <v>1109</v>
      </c>
      <c r="J111" s="92" t="s">
        <v>188</v>
      </c>
      <c r="K111" s="356" t="s">
        <v>29</v>
      </c>
    </row>
    <row r="112" spans="1:11">
      <c r="A112" s="219">
        <v>3701</v>
      </c>
      <c r="B112" s="106">
        <v>41430</v>
      </c>
      <c r="C112" s="92" t="s">
        <v>356</v>
      </c>
      <c r="D112" s="105">
        <v>52800</v>
      </c>
      <c r="E112" s="413">
        <f>D112/'12 - Equity Statement'!$N$10</f>
        <v>8723.6679058240388</v>
      </c>
      <c r="F112" s="92" t="s">
        <v>357</v>
      </c>
      <c r="G112" s="92" t="s">
        <v>113</v>
      </c>
      <c r="H112" s="355" t="s">
        <v>118</v>
      </c>
      <c r="I112" s="268" t="s">
        <v>1109</v>
      </c>
      <c r="J112" s="92" t="s">
        <v>101</v>
      </c>
      <c r="K112" s="355" t="s">
        <v>23</v>
      </c>
    </row>
    <row r="113" spans="1:11">
      <c r="A113" s="219">
        <v>3702</v>
      </c>
      <c r="B113" s="106">
        <v>41430</v>
      </c>
      <c r="C113" s="92" t="s">
        <v>358</v>
      </c>
      <c r="D113" s="105">
        <v>13200</v>
      </c>
      <c r="E113" s="413">
        <f>D113/'12 - Equity Statement'!$N$10</f>
        <v>2180.9169764560097</v>
      </c>
      <c r="F113" s="92" t="s">
        <v>357</v>
      </c>
      <c r="G113" s="92" t="s">
        <v>113</v>
      </c>
      <c r="H113" s="355" t="s">
        <v>1071</v>
      </c>
      <c r="I113" s="268" t="s">
        <v>1109</v>
      </c>
      <c r="J113" s="92" t="s">
        <v>101</v>
      </c>
      <c r="K113" s="355" t="s">
        <v>32</v>
      </c>
    </row>
    <row r="114" spans="1:11">
      <c r="A114" s="219">
        <v>3657</v>
      </c>
      <c r="B114" s="106">
        <v>41431</v>
      </c>
      <c r="C114" s="92" t="s">
        <v>557</v>
      </c>
      <c r="D114" s="105">
        <v>1988.32</v>
      </c>
      <c r="E114" s="413">
        <f>D114/'12 - Equity Statement'!$N$10</f>
        <v>328.51218504750102</v>
      </c>
      <c r="F114" s="92" t="s">
        <v>409</v>
      </c>
      <c r="G114" s="91" t="s">
        <v>52</v>
      </c>
      <c r="H114" s="356" t="s">
        <v>119</v>
      </c>
      <c r="I114" s="268" t="s">
        <v>1109</v>
      </c>
      <c r="J114" s="92" t="s">
        <v>292</v>
      </c>
      <c r="K114" s="355"/>
    </row>
    <row r="115" spans="1:11">
      <c r="A115" s="219">
        <v>3681</v>
      </c>
      <c r="B115" s="106">
        <v>41431</v>
      </c>
      <c r="C115" s="92" t="s">
        <v>359</v>
      </c>
      <c r="D115" s="105">
        <v>12</v>
      </c>
      <c r="E115" s="413">
        <f>D115/'12 - Equity Statement'!$N$10</f>
        <v>1.9826517967781907</v>
      </c>
      <c r="F115" s="92" t="s">
        <v>179</v>
      </c>
      <c r="G115" s="91" t="s">
        <v>132</v>
      </c>
      <c r="H115" s="355" t="s">
        <v>1071</v>
      </c>
      <c r="I115" s="268" t="s">
        <v>1109</v>
      </c>
      <c r="J115" s="92" t="s">
        <v>188</v>
      </c>
      <c r="K115" s="356" t="s">
        <v>29</v>
      </c>
    </row>
    <row r="116" spans="1:11">
      <c r="A116" s="219">
        <v>3659</v>
      </c>
      <c r="B116" s="106">
        <v>41439</v>
      </c>
      <c r="C116" s="92" t="s">
        <v>269</v>
      </c>
      <c r="D116" s="105">
        <v>480</v>
      </c>
      <c r="E116" s="413">
        <f>D116/'12 - Equity Statement'!$N$10</f>
        <v>79.306071871127628</v>
      </c>
      <c r="F116" s="92" t="s">
        <v>270</v>
      </c>
      <c r="G116" s="91" t="s">
        <v>52</v>
      </c>
      <c r="H116" s="355" t="s">
        <v>1071</v>
      </c>
      <c r="I116" s="268" t="s">
        <v>1109</v>
      </c>
      <c r="J116" s="92" t="s">
        <v>292</v>
      </c>
      <c r="K116" s="355" t="s">
        <v>32</v>
      </c>
    </row>
    <row r="117" spans="1:11">
      <c r="A117" s="219">
        <v>3660</v>
      </c>
      <c r="B117" s="106">
        <v>41439</v>
      </c>
      <c r="C117" s="92" t="s">
        <v>369</v>
      </c>
      <c r="D117" s="105">
        <v>480</v>
      </c>
      <c r="E117" s="413">
        <f>D117/'12 - Equity Statement'!$N$10</f>
        <v>79.306071871127628</v>
      </c>
      <c r="F117" s="92" t="s">
        <v>270</v>
      </c>
      <c r="G117" s="91" t="s">
        <v>52</v>
      </c>
      <c r="H117" s="355" t="s">
        <v>1071</v>
      </c>
      <c r="I117" s="268" t="s">
        <v>1109</v>
      </c>
      <c r="J117" s="92" t="s">
        <v>292</v>
      </c>
      <c r="K117" s="356" t="s">
        <v>29</v>
      </c>
    </row>
    <row r="118" spans="1:11">
      <c r="A118" s="219">
        <v>3680</v>
      </c>
      <c r="B118" s="106">
        <v>41439</v>
      </c>
      <c r="C118" s="92" t="s">
        <v>277</v>
      </c>
      <c r="D118" s="105">
        <v>1007</v>
      </c>
      <c r="E118" s="413">
        <f>D118/'12 - Equity Statement'!$N$10</f>
        <v>166.37752994630318</v>
      </c>
      <c r="F118" s="92" t="s">
        <v>383</v>
      </c>
      <c r="G118" s="91" t="s">
        <v>19</v>
      </c>
      <c r="H118" s="355" t="s">
        <v>1071</v>
      </c>
      <c r="I118" s="268" t="s">
        <v>1109</v>
      </c>
      <c r="J118" s="92" t="s">
        <v>101</v>
      </c>
      <c r="K118" s="356" t="s">
        <v>32</v>
      </c>
    </row>
    <row r="119" spans="1:11">
      <c r="A119" s="219">
        <v>3679</v>
      </c>
      <c r="B119" s="106">
        <v>41439</v>
      </c>
      <c r="C119" s="92" t="s">
        <v>371</v>
      </c>
      <c r="D119" s="105">
        <v>3000</v>
      </c>
      <c r="E119" s="413">
        <f>D119/'12 - Equity Statement'!$N$10</f>
        <v>495.66294919454771</v>
      </c>
      <c r="F119" s="92" t="s">
        <v>276</v>
      </c>
      <c r="G119" s="91" t="s">
        <v>19</v>
      </c>
      <c r="H119" s="355" t="s">
        <v>1071</v>
      </c>
      <c r="I119" s="268" t="s">
        <v>1109</v>
      </c>
      <c r="J119" s="92" t="s">
        <v>188</v>
      </c>
      <c r="K119" s="356" t="s">
        <v>29</v>
      </c>
    </row>
    <row r="120" spans="1:11">
      <c r="A120" s="219">
        <v>3661</v>
      </c>
      <c r="B120" s="106">
        <v>41439</v>
      </c>
      <c r="C120" s="92" t="s">
        <v>370</v>
      </c>
      <c r="D120" s="105">
        <v>955.68</v>
      </c>
      <c r="E120" s="413">
        <f>D120/'12 - Equity Statement'!$N$10</f>
        <v>157.8983890954151</v>
      </c>
      <c r="F120" s="92" t="s">
        <v>303</v>
      </c>
      <c r="G120" s="91" t="s">
        <v>116</v>
      </c>
      <c r="H120" s="356" t="s">
        <v>119</v>
      </c>
      <c r="I120" s="268" t="s">
        <v>1109</v>
      </c>
      <c r="J120" s="92" t="s">
        <v>292</v>
      </c>
      <c r="K120" s="355"/>
    </row>
    <row r="121" spans="1:11">
      <c r="A121" s="219">
        <v>3658</v>
      </c>
      <c r="B121" s="106">
        <v>41439</v>
      </c>
      <c r="C121" s="92" t="s">
        <v>558</v>
      </c>
      <c r="D121" s="105">
        <v>345.64</v>
      </c>
      <c r="E121" s="413">
        <f>D121/'12 - Equity Statement'!$N$10</f>
        <v>57.106980586534483</v>
      </c>
      <c r="F121" s="92" t="s">
        <v>181</v>
      </c>
      <c r="G121" s="91" t="s">
        <v>114</v>
      </c>
      <c r="H121" s="355" t="s">
        <v>118</v>
      </c>
      <c r="I121" s="268" t="s">
        <v>1109</v>
      </c>
      <c r="J121" s="92" t="s">
        <v>292</v>
      </c>
      <c r="K121" s="355" t="s">
        <v>23</v>
      </c>
    </row>
    <row r="122" spans="1:11">
      <c r="A122" s="219">
        <v>3682</v>
      </c>
      <c r="B122" s="106">
        <v>41439</v>
      </c>
      <c r="C122" s="92" t="s">
        <v>384</v>
      </c>
      <c r="D122" s="105">
        <v>36</v>
      </c>
      <c r="E122" s="413">
        <f>D122/'12 - Equity Statement'!$N$10</f>
        <v>5.9479553903345721</v>
      </c>
      <c r="F122" s="92" t="s">
        <v>179</v>
      </c>
      <c r="G122" s="91" t="s">
        <v>132</v>
      </c>
      <c r="H122" s="355" t="s">
        <v>1071</v>
      </c>
      <c r="I122" s="268" t="s">
        <v>1109</v>
      </c>
      <c r="J122" s="92" t="s">
        <v>188</v>
      </c>
      <c r="K122" s="356" t="s">
        <v>29</v>
      </c>
    </row>
    <row r="123" spans="1:11">
      <c r="A123" s="219">
        <v>3651</v>
      </c>
      <c r="B123" s="106">
        <v>41442</v>
      </c>
      <c r="C123" s="92" t="s">
        <v>386</v>
      </c>
      <c r="D123" s="105">
        <v>45</v>
      </c>
      <c r="E123" s="413">
        <f>D123/'12 - Equity Statement'!$N$10</f>
        <v>7.4349442379182156</v>
      </c>
      <c r="F123" s="92" t="s">
        <v>179</v>
      </c>
      <c r="G123" s="91" t="s">
        <v>132</v>
      </c>
      <c r="H123" s="356" t="s">
        <v>119</v>
      </c>
      <c r="I123" s="268" t="s">
        <v>1109</v>
      </c>
      <c r="J123" s="92" t="s">
        <v>188</v>
      </c>
      <c r="K123" s="355"/>
    </row>
    <row r="124" spans="1:11">
      <c r="A124" s="219">
        <v>3662</v>
      </c>
      <c r="B124" s="106">
        <v>41443</v>
      </c>
      <c r="C124" s="92" t="s">
        <v>186</v>
      </c>
      <c r="D124" s="105">
        <v>173.6</v>
      </c>
      <c r="E124" s="413">
        <f>D124/'12 - Equity Statement'!$N$10</f>
        <v>28.682362660057827</v>
      </c>
      <c r="F124" s="92" t="s">
        <v>302</v>
      </c>
      <c r="G124" s="91" t="s">
        <v>114</v>
      </c>
      <c r="H124" s="355" t="s">
        <v>1071</v>
      </c>
      <c r="I124" s="268" t="s">
        <v>1109</v>
      </c>
      <c r="J124" s="92" t="s">
        <v>292</v>
      </c>
      <c r="K124" s="356" t="s">
        <v>29</v>
      </c>
    </row>
    <row r="125" spans="1:11">
      <c r="A125" s="219">
        <v>3710</v>
      </c>
      <c r="B125" s="106">
        <v>41446</v>
      </c>
      <c r="C125" s="92" t="s">
        <v>592</v>
      </c>
      <c r="D125" s="105">
        <v>887</v>
      </c>
      <c r="E125" s="413">
        <f>D125/'12 - Equity Statement'!$N$10</f>
        <v>146.55101197852127</v>
      </c>
      <c r="F125" s="92" t="s">
        <v>559</v>
      </c>
      <c r="G125" s="91" t="s">
        <v>132</v>
      </c>
      <c r="H125" s="356" t="s">
        <v>119</v>
      </c>
      <c r="I125" s="268" t="s">
        <v>1109</v>
      </c>
      <c r="J125" s="92" t="s">
        <v>188</v>
      </c>
      <c r="K125" s="356"/>
    </row>
    <row r="126" spans="1:11">
      <c r="A126" s="219">
        <v>3717</v>
      </c>
      <c r="B126" s="106">
        <v>41446</v>
      </c>
      <c r="C126" s="92" t="s">
        <v>585</v>
      </c>
      <c r="D126" s="105">
        <v>194</v>
      </c>
      <c r="E126" s="413">
        <f>D126/'12 - Equity Statement'!$N$10</f>
        <v>32.052870714580749</v>
      </c>
      <c r="F126" s="92" t="s">
        <v>707</v>
      </c>
      <c r="G126" s="91" t="s">
        <v>132</v>
      </c>
      <c r="H126" s="356" t="s">
        <v>119</v>
      </c>
      <c r="I126" s="268" t="s">
        <v>1109</v>
      </c>
      <c r="J126" s="92" t="s">
        <v>188</v>
      </c>
      <c r="K126" s="355"/>
    </row>
    <row r="127" spans="1:11">
      <c r="A127" s="219">
        <v>3699</v>
      </c>
      <c r="B127" s="106">
        <v>41449</v>
      </c>
      <c r="C127" s="92" t="s">
        <v>710</v>
      </c>
      <c r="D127" s="105">
        <v>553</v>
      </c>
      <c r="E127" s="413">
        <f>D127/'12 - Equity Statement'!$N$10</f>
        <v>91.367203634861625</v>
      </c>
      <c r="F127" s="92" t="s">
        <v>559</v>
      </c>
      <c r="G127" s="91" t="s">
        <v>132</v>
      </c>
      <c r="H127" s="356" t="s">
        <v>119</v>
      </c>
      <c r="I127" s="268" t="s">
        <v>1109</v>
      </c>
      <c r="J127" s="92" t="s">
        <v>188</v>
      </c>
      <c r="K127" s="356"/>
    </row>
    <row r="128" spans="1:11">
      <c r="A128" s="219">
        <v>3714</v>
      </c>
      <c r="B128" s="106">
        <v>41449</v>
      </c>
      <c r="C128" s="92" t="s">
        <v>711</v>
      </c>
      <c r="D128" s="105">
        <v>175</v>
      </c>
      <c r="E128" s="413">
        <f>D128/'12 - Equity Statement'!$N$10</f>
        <v>28.913672036348615</v>
      </c>
      <c r="F128" s="92" t="s">
        <v>643</v>
      </c>
      <c r="G128" s="91" t="s">
        <v>132</v>
      </c>
      <c r="H128" s="355" t="s">
        <v>118</v>
      </c>
      <c r="I128" s="268" t="s">
        <v>1109</v>
      </c>
      <c r="J128" s="92" t="s">
        <v>188</v>
      </c>
      <c r="K128" s="355" t="s">
        <v>26</v>
      </c>
    </row>
    <row r="129" spans="1:11">
      <c r="A129" s="219">
        <v>3715</v>
      </c>
      <c r="B129" s="106">
        <v>41450</v>
      </c>
      <c r="C129" s="92" t="s">
        <v>605</v>
      </c>
      <c r="D129" s="105">
        <v>74</v>
      </c>
      <c r="E129" s="413">
        <f>D129/'12 - Equity Statement'!$N$10</f>
        <v>12.226352746798844</v>
      </c>
      <c r="F129" s="92" t="s">
        <v>179</v>
      </c>
      <c r="G129" s="91" t="s">
        <v>132</v>
      </c>
      <c r="H129" s="355" t="s">
        <v>118</v>
      </c>
      <c r="I129" s="268" t="s">
        <v>1109</v>
      </c>
      <c r="J129" s="92" t="s">
        <v>188</v>
      </c>
      <c r="K129" s="355" t="s">
        <v>23</v>
      </c>
    </row>
    <row r="130" spans="1:11">
      <c r="A130" s="219">
        <v>3655</v>
      </c>
      <c r="B130" s="106">
        <v>41453</v>
      </c>
      <c r="C130" s="92" t="s">
        <v>600</v>
      </c>
      <c r="D130" s="105">
        <v>7500</v>
      </c>
      <c r="E130" s="413">
        <f>D130/'12 - Equity Statement'!$N$10</f>
        <v>1239.1573729863692</v>
      </c>
      <c r="F130" s="92" t="s">
        <v>509</v>
      </c>
      <c r="G130" s="91" t="s">
        <v>51</v>
      </c>
      <c r="H130" s="355" t="s">
        <v>1071</v>
      </c>
      <c r="I130" s="268" t="s">
        <v>1109</v>
      </c>
      <c r="J130" s="92" t="s">
        <v>188</v>
      </c>
      <c r="K130" s="355" t="s">
        <v>32</v>
      </c>
    </row>
    <row r="131" spans="1:11">
      <c r="A131" s="219">
        <v>3654</v>
      </c>
      <c r="B131" s="106">
        <v>41453</v>
      </c>
      <c r="C131" s="92" t="s">
        <v>606</v>
      </c>
      <c r="D131" s="105">
        <v>10000</v>
      </c>
      <c r="E131" s="413">
        <f>D131/'12 - Equity Statement'!$N$10</f>
        <v>1652.2098306484922</v>
      </c>
      <c r="F131" s="92" t="s">
        <v>511</v>
      </c>
      <c r="G131" s="91" t="s">
        <v>51</v>
      </c>
      <c r="H131" s="355" t="s">
        <v>118</v>
      </c>
      <c r="I131" s="268" t="s">
        <v>1109</v>
      </c>
      <c r="J131" s="91" t="s">
        <v>175</v>
      </c>
      <c r="K131" s="355" t="s">
        <v>23</v>
      </c>
    </row>
    <row r="132" spans="1:11">
      <c r="A132" s="219">
        <v>3656</v>
      </c>
      <c r="B132" s="106">
        <v>41453</v>
      </c>
      <c r="C132" s="92" t="s">
        <v>506</v>
      </c>
      <c r="D132" s="105">
        <v>4200</v>
      </c>
      <c r="E132" s="413">
        <f>D132/'12 - Equity Statement'!$N$10</f>
        <v>693.92812887236676</v>
      </c>
      <c r="F132" s="92" t="s">
        <v>510</v>
      </c>
      <c r="G132" s="91" t="s">
        <v>52</v>
      </c>
      <c r="H132" s="355" t="s">
        <v>1071</v>
      </c>
      <c r="I132" s="268" t="s">
        <v>1109</v>
      </c>
      <c r="J132" s="92" t="s">
        <v>188</v>
      </c>
      <c r="K132" s="356" t="s">
        <v>34</v>
      </c>
    </row>
    <row r="133" spans="1:11">
      <c r="A133" s="219">
        <v>3663</v>
      </c>
      <c r="B133" s="106">
        <v>41453</v>
      </c>
      <c r="C133" s="92" t="s">
        <v>507</v>
      </c>
      <c r="D133" s="105">
        <v>1137.24</v>
      </c>
      <c r="E133" s="413">
        <f>D133/'12 - Equity Statement'!$N$10</f>
        <v>187.89591078066914</v>
      </c>
      <c r="F133" s="92" t="s">
        <v>409</v>
      </c>
      <c r="G133" s="91" t="s">
        <v>52</v>
      </c>
      <c r="H133" s="356" t="s">
        <v>119</v>
      </c>
      <c r="I133" s="268" t="s">
        <v>1109</v>
      </c>
      <c r="J133" s="92" t="s">
        <v>292</v>
      </c>
      <c r="K133" s="355"/>
    </row>
    <row r="134" spans="1:11">
      <c r="A134" s="219">
        <v>3716</v>
      </c>
      <c r="B134" s="106">
        <v>41455</v>
      </c>
      <c r="C134" s="92" t="s">
        <v>410</v>
      </c>
      <c r="D134" s="105">
        <v>69</v>
      </c>
      <c r="E134" s="413">
        <f>D134/'12 - Equity Statement'!$N$10</f>
        <v>11.400247831474596</v>
      </c>
      <c r="F134" s="92" t="s">
        <v>179</v>
      </c>
      <c r="G134" s="91" t="s">
        <v>132</v>
      </c>
      <c r="H134" s="355" t="s">
        <v>120</v>
      </c>
      <c r="I134" s="268" t="s">
        <v>1109</v>
      </c>
      <c r="J134" s="92" t="s">
        <v>188</v>
      </c>
      <c r="K134" s="355"/>
    </row>
    <row r="135" spans="1:11">
      <c r="A135" s="220">
        <v>3752</v>
      </c>
      <c r="B135" s="104">
        <v>41458</v>
      </c>
      <c r="C135" s="91" t="s">
        <v>298</v>
      </c>
      <c r="D135" s="105">
        <v>53</v>
      </c>
      <c r="E135" s="413">
        <f t="shared" ref="E135:E159" si="0">D135/6.0506</f>
        <v>8.7594618715499291</v>
      </c>
      <c r="F135" s="91" t="s">
        <v>179</v>
      </c>
      <c r="G135" s="91" t="s">
        <v>132</v>
      </c>
      <c r="H135" s="355" t="s">
        <v>1071</v>
      </c>
      <c r="I135" s="268" t="s">
        <v>1109</v>
      </c>
      <c r="J135" s="91" t="s">
        <v>291</v>
      </c>
      <c r="K135" s="355" t="s">
        <v>34</v>
      </c>
    </row>
    <row r="136" spans="1:11">
      <c r="A136" s="220">
        <v>3720</v>
      </c>
      <c r="B136" s="104">
        <v>41459</v>
      </c>
      <c r="C136" s="91" t="s">
        <v>299</v>
      </c>
      <c r="D136" s="105">
        <v>955.68</v>
      </c>
      <c r="E136" s="413">
        <f t="shared" si="0"/>
        <v>157.94797210194028</v>
      </c>
      <c r="F136" s="91" t="s">
        <v>303</v>
      </c>
      <c r="G136" s="91" t="s">
        <v>116</v>
      </c>
      <c r="H136" s="356" t="s">
        <v>119</v>
      </c>
      <c r="I136" s="268" t="s">
        <v>1109</v>
      </c>
      <c r="J136" s="91" t="s">
        <v>292</v>
      </c>
      <c r="K136" s="355"/>
    </row>
    <row r="137" spans="1:11">
      <c r="A137" s="220">
        <v>3762</v>
      </c>
      <c r="B137" s="104">
        <v>41459</v>
      </c>
      <c r="C137" s="91" t="s">
        <v>240</v>
      </c>
      <c r="D137" s="105">
        <v>78</v>
      </c>
      <c r="E137" s="413">
        <f t="shared" si="0"/>
        <v>12.89128350907348</v>
      </c>
      <c r="F137" s="91" t="s">
        <v>179</v>
      </c>
      <c r="G137" s="91" t="s">
        <v>132</v>
      </c>
      <c r="H137" s="355" t="s">
        <v>120</v>
      </c>
      <c r="I137" s="268" t="s">
        <v>1109</v>
      </c>
      <c r="J137" s="123" t="s">
        <v>188</v>
      </c>
      <c r="K137" s="355"/>
    </row>
    <row r="138" spans="1:11">
      <c r="A138" s="220">
        <v>3721</v>
      </c>
      <c r="B138" s="104">
        <v>41460</v>
      </c>
      <c r="C138" s="91" t="s">
        <v>271</v>
      </c>
      <c r="D138" s="105">
        <v>2096.4299999999998</v>
      </c>
      <c r="E138" s="413">
        <f t="shared" si="0"/>
        <v>346.48299342213994</v>
      </c>
      <c r="F138" s="91" t="s">
        <v>409</v>
      </c>
      <c r="G138" s="91" t="s">
        <v>52</v>
      </c>
      <c r="H138" s="356" t="s">
        <v>119</v>
      </c>
      <c r="I138" s="268" t="s">
        <v>1109</v>
      </c>
      <c r="J138" s="91" t="s">
        <v>292</v>
      </c>
      <c r="K138" s="355"/>
    </row>
    <row r="139" spans="1:11">
      <c r="A139" s="220">
        <v>3759</v>
      </c>
      <c r="B139" s="104">
        <v>41460</v>
      </c>
      <c r="C139" s="91" t="s">
        <v>394</v>
      </c>
      <c r="D139" s="105">
        <v>72.150000000000006</v>
      </c>
      <c r="E139" s="413">
        <f t="shared" si="0"/>
        <v>11.924437245892969</v>
      </c>
      <c r="F139" s="91" t="s">
        <v>403</v>
      </c>
      <c r="G139" s="91" t="s">
        <v>114</v>
      </c>
      <c r="H139" s="355" t="s">
        <v>120</v>
      </c>
      <c r="I139" s="268" t="s">
        <v>1109</v>
      </c>
      <c r="J139" s="91" t="s">
        <v>101</v>
      </c>
      <c r="K139" s="355"/>
    </row>
    <row r="140" spans="1:11">
      <c r="A140" s="220">
        <v>3750</v>
      </c>
      <c r="B140" s="104">
        <v>41460</v>
      </c>
      <c r="C140" s="91" t="s">
        <v>393</v>
      </c>
      <c r="D140" s="105">
        <v>104</v>
      </c>
      <c r="E140" s="413">
        <f t="shared" si="0"/>
        <v>17.188378012097974</v>
      </c>
      <c r="F140" s="91" t="s">
        <v>179</v>
      </c>
      <c r="G140" s="91" t="s">
        <v>132</v>
      </c>
      <c r="H140" s="355" t="s">
        <v>1071</v>
      </c>
      <c r="I140" s="268" t="s">
        <v>1109</v>
      </c>
      <c r="J140" s="91" t="s">
        <v>291</v>
      </c>
      <c r="K140" s="355" t="s">
        <v>34</v>
      </c>
    </row>
    <row r="141" spans="1:11">
      <c r="A141" s="220">
        <v>3765</v>
      </c>
      <c r="B141" s="104">
        <v>41460</v>
      </c>
      <c r="C141" s="91" t="s">
        <v>243</v>
      </c>
      <c r="D141" s="105">
        <v>44</v>
      </c>
      <c r="E141" s="413">
        <f t="shared" si="0"/>
        <v>7.2720060820414503</v>
      </c>
      <c r="F141" s="91" t="s">
        <v>179</v>
      </c>
      <c r="G141" s="91" t="s">
        <v>132</v>
      </c>
      <c r="H141" s="355" t="s">
        <v>120</v>
      </c>
      <c r="I141" s="268" t="s">
        <v>1109</v>
      </c>
      <c r="J141" s="123" t="s">
        <v>188</v>
      </c>
      <c r="K141" s="355"/>
    </row>
    <row r="142" spans="1:11">
      <c r="A142" s="220">
        <v>3748</v>
      </c>
      <c r="B142" s="104">
        <v>41460</v>
      </c>
      <c r="C142" s="91" t="s">
        <v>272</v>
      </c>
      <c r="D142" s="105">
        <v>290</v>
      </c>
      <c r="E142" s="413">
        <f t="shared" si="0"/>
        <v>47.929130995273198</v>
      </c>
      <c r="F142" s="91" t="s">
        <v>264</v>
      </c>
      <c r="G142" s="91" t="s">
        <v>106</v>
      </c>
      <c r="H142" s="355" t="s">
        <v>1071</v>
      </c>
      <c r="I142" s="268" t="s">
        <v>1109</v>
      </c>
      <c r="J142" s="91" t="s">
        <v>291</v>
      </c>
      <c r="K142" s="355" t="s">
        <v>34</v>
      </c>
    </row>
    <row r="143" spans="1:11">
      <c r="A143" s="220">
        <v>3734</v>
      </c>
      <c r="B143" s="104">
        <v>41463</v>
      </c>
      <c r="C143" s="91" t="s">
        <v>396</v>
      </c>
      <c r="D143" s="105">
        <v>81</v>
      </c>
      <c r="E143" s="413">
        <f t="shared" si="0"/>
        <v>13.387102105576306</v>
      </c>
      <c r="F143" s="91" t="s">
        <v>264</v>
      </c>
      <c r="G143" s="91" t="s">
        <v>114</v>
      </c>
      <c r="H143" s="355" t="s">
        <v>1071</v>
      </c>
      <c r="I143" s="268" t="s">
        <v>1109</v>
      </c>
      <c r="J143" s="91" t="s">
        <v>101</v>
      </c>
      <c r="K143" s="356" t="s">
        <v>29</v>
      </c>
    </row>
    <row r="144" spans="1:11">
      <c r="A144" s="220">
        <v>3763</v>
      </c>
      <c r="B144" s="104">
        <v>41464</v>
      </c>
      <c r="C144" s="91" t="s">
        <v>241</v>
      </c>
      <c r="D144" s="105">
        <v>29</v>
      </c>
      <c r="E144" s="413">
        <f t="shared" si="0"/>
        <v>4.7929130995273193</v>
      </c>
      <c r="F144" s="91" t="s">
        <v>179</v>
      </c>
      <c r="G144" s="91" t="s">
        <v>132</v>
      </c>
      <c r="H144" s="355" t="s">
        <v>1071</v>
      </c>
      <c r="I144" s="268" t="s">
        <v>1109</v>
      </c>
      <c r="J144" s="123" t="s">
        <v>188</v>
      </c>
      <c r="K144" s="355" t="s">
        <v>29</v>
      </c>
    </row>
    <row r="145" spans="1:11">
      <c r="A145" s="220">
        <v>3747</v>
      </c>
      <c r="B145" s="104">
        <v>41465</v>
      </c>
      <c r="C145" s="91" t="s">
        <v>397</v>
      </c>
      <c r="D145" s="105">
        <v>36</v>
      </c>
      <c r="E145" s="413">
        <f t="shared" si="0"/>
        <v>5.9498231580339134</v>
      </c>
      <c r="F145" s="91" t="s">
        <v>398</v>
      </c>
      <c r="G145" s="91" t="s">
        <v>114</v>
      </c>
      <c r="H145" s="355" t="s">
        <v>1071</v>
      </c>
      <c r="I145" s="268" t="s">
        <v>1109</v>
      </c>
      <c r="J145" s="91" t="s">
        <v>291</v>
      </c>
      <c r="K145" s="356" t="s">
        <v>29</v>
      </c>
    </row>
    <row r="146" spans="1:11">
      <c r="A146" s="220">
        <v>3722</v>
      </c>
      <c r="B146" s="104">
        <v>41465</v>
      </c>
      <c r="C146" s="91" t="s">
        <v>186</v>
      </c>
      <c r="D146" s="105">
        <v>177.31</v>
      </c>
      <c r="E146" s="413">
        <f t="shared" si="0"/>
        <v>29.304531781972035</v>
      </c>
      <c r="F146" s="91" t="s">
        <v>302</v>
      </c>
      <c r="G146" s="91" t="s">
        <v>114</v>
      </c>
      <c r="H146" s="355" t="s">
        <v>1071</v>
      </c>
      <c r="I146" s="268" t="s">
        <v>1109</v>
      </c>
      <c r="J146" s="91" t="s">
        <v>292</v>
      </c>
      <c r="K146" s="356" t="s">
        <v>29</v>
      </c>
    </row>
    <row r="147" spans="1:11">
      <c r="A147" s="220">
        <v>3723</v>
      </c>
      <c r="B147" s="104">
        <v>41466</v>
      </c>
      <c r="C147" s="91" t="s">
        <v>558</v>
      </c>
      <c r="D147" s="105">
        <v>400.74</v>
      </c>
      <c r="E147" s="413">
        <f t="shared" si="0"/>
        <v>66.231448120847517</v>
      </c>
      <c r="F147" s="91" t="s">
        <v>181</v>
      </c>
      <c r="G147" s="91" t="s">
        <v>114</v>
      </c>
      <c r="H147" s="355" t="s">
        <v>118</v>
      </c>
      <c r="I147" s="268" t="s">
        <v>1109</v>
      </c>
      <c r="J147" s="91" t="s">
        <v>292</v>
      </c>
      <c r="K147" s="355" t="s">
        <v>23</v>
      </c>
    </row>
    <row r="148" spans="1:11">
      <c r="A148" s="220">
        <v>3764</v>
      </c>
      <c r="B148" s="104">
        <v>41469</v>
      </c>
      <c r="C148" s="91" t="s">
        <v>242</v>
      </c>
      <c r="D148" s="105">
        <v>28</v>
      </c>
      <c r="E148" s="413">
        <f t="shared" si="0"/>
        <v>4.6276402340263774</v>
      </c>
      <c r="F148" s="91" t="s">
        <v>179</v>
      </c>
      <c r="G148" s="91" t="s">
        <v>132</v>
      </c>
      <c r="H148" s="355" t="s">
        <v>120</v>
      </c>
      <c r="I148" s="268" t="s">
        <v>1109</v>
      </c>
      <c r="J148" s="123" t="s">
        <v>188</v>
      </c>
      <c r="K148" s="355"/>
    </row>
    <row r="149" spans="1:11">
      <c r="A149" s="220">
        <v>3766</v>
      </c>
      <c r="B149" s="104">
        <v>41471</v>
      </c>
      <c r="C149" s="91" t="s">
        <v>325</v>
      </c>
      <c r="D149" s="105">
        <v>62</v>
      </c>
      <c r="E149" s="413">
        <f t="shared" si="0"/>
        <v>10.246917661058408</v>
      </c>
      <c r="F149" s="91" t="s">
        <v>179</v>
      </c>
      <c r="G149" s="91" t="s">
        <v>132</v>
      </c>
      <c r="H149" s="355" t="s">
        <v>120</v>
      </c>
      <c r="I149" s="268" t="s">
        <v>1109</v>
      </c>
      <c r="J149" s="123" t="s">
        <v>188</v>
      </c>
      <c r="K149" s="355"/>
    </row>
    <row r="150" spans="1:11">
      <c r="A150" s="220">
        <v>3743</v>
      </c>
      <c r="B150" s="104">
        <v>41471</v>
      </c>
      <c r="C150" s="91" t="s">
        <v>294</v>
      </c>
      <c r="D150" s="105">
        <v>41</v>
      </c>
      <c r="E150" s="413">
        <f t="shared" si="0"/>
        <v>6.7761874855386237</v>
      </c>
      <c r="F150" s="91" t="s">
        <v>179</v>
      </c>
      <c r="G150" s="91" t="s">
        <v>132</v>
      </c>
      <c r="H150" s="355" t="s">
        <v>120</v>
      </c>
      <c r="I150" s="268" t="s">
        <v>1109</v>
      </c>
      <c r="J150" s="91" t="s">
        <v>291</v>
      </c>
      <c r="K150" s="355"/>
    </row>
    <row r="151" spans="1:11">
      <c r="A151" s="220">
        <v>3767</v>
      </c>
      <c r="B151" s="104">
        <v>41477</v>
      </c>
      <c r="C151" s="91" t="s">
        <v>326</v>
      </c>
      <c r="D151" s="105">
        <v>34</v>
      </c>
      <c r="E151" s="413">
        <f t="shared" si="0"/>
        <v>5.6192774270320296</v>
      </c>
      <c r="F151" s="91" t="s">
        <v>179</v>
      </c>
      <c r="G151" s="91" t="s">
        <v>132</v>
      </c>
      <c r="H151" s="355" t="s">
        <v>1071</v>
      </c>
      <c r="I151" s="268" t="s">
        <v>1109</v>
      </c>
      <c r="J151" s="123" t="s">
        <v>188</v>
      </c>
      <c r="K151" s="355" t="s">
        <v>29</v>
      </c>
    </row>
    <row r="152" spans="1:11">
      <c r="A152" s="220">
        <v>3742</v>
      </c>
      <c r="B152" s="104">
        <v>41479</v>
      </c>
      <c r="C152" s="91" t="s">
        <v>733</v>
      </c>
      <c r="D152" s="105">
        <v>22</v>
      </c>
      <c r="E152" s="413">
        <f t="shared" si="0"/>
        <v>3.6360030410207251</v>
      </c>
      <c r="F152" s="91" t="s">
        <v>398</v>
      </c>
      <c r="G152" s="91" t="s">
        <v>114</v>
      </c>
      <c r="H152" s="355" t="s">
        <v>1071</v>
      </c>
      <c r="I152" s="268" t="s">
        <v>1109</v>
      </c>
      <c r="J152" s="91" t="s">
        <v>291</v>
      </c>
      <c r="K152" s="356" t="s">
        <v>29</v>
      </c>
    </row>
    <row r="153" spans="1:11">
      <c r="A153" s="220">
        <v>3739</v>
      </c>
      <c r="B153" s="104">
        <v>41479</v>
      </c>
      <c r="C153" s="91" t="s">
        <v>221</v>
      </c>
      <c r="D153" s="105">
        <v>20</v>
      </c>
      <c r="E153" s="413">
        <f t="shared" si="0"/>
        <v>3.3054573100188409</v>
      </c>
      <c r="F153" s="91" t="s">
        <v>403</v>
      </c>
      <c r="G153" s="91" t="s">
        <v>106</v>
      </c>
      <c r="H153" s="355" t="s">
        <v>1071</v>
      </c>
      <c r="I153" s="268" t="s">
        <v>1109</v>
      </c>
      <c r="J153" s="91" t="s">
        <v>291</v>
      </c>
      <c r="K153" s="355" t="s">
        <v>34</v>
      </c>
    </row>
    <row r="154" spans="1:11">
      <c r="A154" s="220">
        <v>3724</v>
      </c>
      <c r="B154" s="104">
        <v>41481</v>
      </c>
      <c r="C154" s="91" t="s">
        <v>223</v>
      </c>
      <c r="D154" s="105">
        <v>480</v>
      </c>
      <c r="E154" s="413">
        <f t="shared" si="0"/>
        <v>79.330975440452178</v>
      </c>
      <c r="F154" s="91" t="s">
        <v>270</v>
      </c>
      <c r="G154" s="91" t="s">
        <v>52</v>
      </c>
      <c r="H154" s="355" t="s">
        <v>118</v>
      </c>
      <c r="I154" s="268" t="s">
        <v>1109</v>
      </c>
      <c r="J154" s="91" t="s">
        <v>292</v>
      </c>
      <c r="K154" s="355" t="s">
        <v>24</v>
      </c>
    </row>
    <row r="155" spans="1:11">
      <c r="A155" s="220">
        <v>3725</v>
      </c>
      <c r="B155" s="104">
        <v>41481</v>
      </c>
      <c r="C155" s="91" t="s">
        <v>224</v>
      </c>
      <c r="D155" s="105">
        <v>480</v>
      </c>
      <c r="E155" s="413">
        <f t="shared" si="0"/>
        <v>79.330975440452178</v>
      </c>
      <c r="F155" s="91" t="s">
        <v>270</v>
      </c>
      <c r="G155" s="91" t="s">
        <v>52</v>
      </c>
      <c r="H155" s="355" t="s">
        <v>1071</v>
      </c>
      <c r="I155" s="268" t="s">
        <v>1109</v>
      </c>
      <c r="J155" s="91" t="s">
        <v>292</v>
      </c>
      <c r="K155" s="356" t="s">
        <v>29</v>
      </c>
    </row>
    <row r="156" spans="1:11">
      <c r="A156" s="220">
        <v>3768</v>
      </c>
      <c r="B156" s="104">
        <v>41485</v>
      </c>
      <c r="C156" s="91" t="s">
        <v>327</v>
      </c>
      <c r="D156" s="105">
        <v>39</v>
      </c>
      <c r="E156" s="413">
        <f t="shared" si="0"/>
        <v>6.4456417545367399</v>
      </c>
      <c r="F156" s="91" t="s">
        <v>179</v>
      </c>
      <c r="G156" s="91" t="s">
        <v>132</v>
      </c>
      <c r="H156" s="355" t="s">
        <v>120</v>
      </c>
      <c r="I156" s="268" t="s">
        <v>1109</v>
      </c>
      <c r="J156" s="123" t="s">
        <v>188</v>
      </c>
      <c r="K156" s="355"/>
    </row>
    <row r="157" spans="1:11">
      <c r="A157" s="220">
        <v>3728</v>
      </c>
      <c r="B157" s="104">
        <v>41486</v>
      </c>
      <c r="C157" s="91" t="s">
        <v>236</v>
      </c>
      <c r="D157" s="105">
        <v>7500</v>
      </c>
      <c r="E157" s="413">
        <f t="shared" si="0"/>
        <v>1239.5464912570653</v>
      </c>
      <c r="F157" s="91" t="s">
        <v>509</v>
      </c>
      <c r="G157" s="91" t="s">
        <v>51</v>
      </c>
      <c r="H157" s="356" t="s">
        <v>119</v>
      </c>
      <c r="I157" s="268" t="s">
        <v>1109</v>
      </c>
      <c r="J157" s="91" t="s">
        <v>291</v>
      </c>
      <c r="K157" s="355"/>
    </row>
    <row r="158" spans="1:11">
      <c r="A158" s="220">
        <v>3726</v>
      </c>
      <c r="B158" s="104">
        <v>41486</v>
      </c>
      <c r="C158" s="91" t="s">
        <v>225</v>
      </c>
      <c r="D158" s="105">
        <v>10000</v>
      </c>
      <c r="E158" s="413">
        <f t="shared" si="0"/>
        <v>1652.7286550094204</v>
      </c>
      <c r="F158" s="92" t="s">
        <v>511</v>
      </c>
      <c r="G158" s="91" t="s">
        <v>51</v>
      </c>
      <c r="H158" s="355" t="s">
        <v>118</v>
      </c>
      <c r="I158" s="268" t="s">
        <v>1109</v>
      </c>
      <c r="J158" s="91" t="s">
        <v>175</v>
      </c>
      <c r="K158" s="355" t="s">
        <v>23</v>
      </c>
    </row>
    <row r="159" spans="1:11">
      <c r="A159" s="220">
        <v>3727</v>
      </c>
      <c r="B159" s="104">
        <v>41486</v>
      </c>
      <c r="C159" s="91" t="s">
        <v>235</v>
      </c>
      <c r="D159" s="105">
        <v>4200</v>
      </c>
      <c r="E159" s="413">
        <f t="shared" si="0"/>
        <v>694.14603510395659</v>
      </c>
      <c r="F159" s="91" t="s">
        <v>510</v>
      </c>
      <c r="G159" s="91" t="s">
        <v>53</v>
      </c>
      <c r="H159" s="355" t="s">
        <v>1071</v>
      </c>
      <c r="I159" s="268" t="s">
        <v>1109</v>
      </c>
      <c r="J159" s="91" t="s">
        <v>291</v>
      </c>
      <c r="K159" s="356" t="s">
        <v>34</v>
      </c>
    </row>
    <row r="160" spans="1:11">
      <c r="A160" s="352">
        <v>3774</v>
      </c>
      <c r="B160" s="354">
        <v>41487</v>
      </c>
      <c r="C160" s="257" t="s">
        <v>895</v>
      </c>
      <c r="D160" s="276">
        <v>955.68</v>
      </c>
      <c r="E160" s="413">
        <f t="shared" ref="E160:E172" si="1">D160/6.0406</f>
        <v>158.20944939244444</v>
      </c>
      <c r="F160" s="257" t="s">
        <v>303</v>
      </c>
      <c r="G160" s="91" t="s">
        <v>116</v>
      </c>
      <c r="H160" s="355" t="s">
        <v>118</v>
      </c>
      <c r="I160" s="268" t="s">
        <v>1109</v>
      </c>
      <c r="J160" s="257" t="s">
        <v>832</v>
      </c>
      <c r="K160" s="355" t="s">
        <v>23</v>
      </c>
    </row>
    <row r="161" spans="1:11">
      <c r="A161" s="352">
        <v>3775</v>
      </c>
      <c r="B161" s="354">
        <v>41488</v>
      </c>
      <c r="C161" s="257" t="s">
        <v>898</v>
      </c>
      <c r="D161" s="276">
        <v>1137.24</v>
      </c>
      <c r="E161" s="413">
        <f t="shared" si="1"/>
        <v>188.26606628480613</v>
      </c>
      <c r="F161" s="257" t="s">
        <v>409</v>
      </c>
      <c r="G161" s="91" t="s">
        <v>52</v>
      </c>
      <c r="H161" s="355" t="s">
        <v>118</v>
      </c>
      <c r="I161" s="268" t="s">
        <v>1109</v>
      </c>
      <c r="J161" s="257" t="s">
        <v>832</v>
      </c>
      <c r="K161" s="355" t="s">
        <v>24</v>
      </c>
    </row>
    <row r="162" spans="1:11">
      <c r="A162" s="352">
        <v>3790</v>
      </c>
      <c r="B162" s="354">
        <v>41488</v>
      </c>
      <c r="C162" s="257" t="s">
        <v>896</v>
      </c>
      <c r="D162" s="276">
        <v>36</v>
      </c>
      <c r="E162" s="413">
        <f t="shared" si="1"/>
        <v>5.9596728801774654</v>
      </c>
      <c r="F162" s="257" t="s">
        <v>179</v>
      </c>
      <c r="G162" s="91" t="s">
        <v>132</v>
      </c>
      <c r="H162" s="355" t="s">
        <v>118</v>
      </c>
      <c r="I162" s="268" t="s">
        <v>1109</v>
      </c>
      <c r="J162" s="257" t="s">
        <v>188</v>
      </c>
      <c r="K162" s="355" t="s">
        <v>23</v>
      </c>
    </row>
    <row r="163" spans="1:11">
      <c r="A163" s="352">
        <v>3776</v>
      </c>
      <c r="B163" s="354">
        <v>41492</v>
      </c>
      <c r="C163" s="257" t="s">
        <v>899</v>
      </c>
      <c r="D163" s="276">
        <v>2096.4299999999998</v>
      </c>
      <c r="E163" s="413">
        <f t="shared" si="1"/>
        <v>347.05658378306788</v>
      </c>
      <c r="F163" s="257" t="s">
        <v>409</v>
      </c>
      <c r="G163" s="91" t="s">
        <v>52</v>
      </c>
      <c r="H163" s="355" t="s">
        <v>118</v>
      </c>
      <c r="I163" s="268" t="s">
        <v>1109</v>
      </c>
      <c r="J163" s="257" t="s">
        <v>832</v>
      </c>
      <c r="K163" s="355" t="s">
        <v>24</v>
      </c>
    </row>
    <row r="164" spans="1:11">
      <c r="A164" s="352">
        <v>3784</v>
      </c>
      <c r="B164" s="354">
        <v>41494</v>
      </c>
      <c r="C164" s="257" t="s">
        <v>901</v>
      </c>
      <c r="D164" s="276">
        <v>1240</v>
      </c>
      <c r="E164" s="413">
        <f t="shared" si="1"/>
        <v>205.27762142833492</v>
      </c>
      <c r="F164" s="257" t="s">
        <v>489</v>
      </c>
      <c r="G164" s="91" t="s">
        <v>132</v>
      </c>
      <c r="H164" s="356" t="s">
        <v>119</v>
      </c>
      <c r="I164" s="268" t="s">
        <v>1109</v>
      </c>
      <c r="J164" s="257" t="s">
        <v>188</v>
      </c>
      <c r="K164" s="356"/>
    </row>
    <row r="165" spans="1:11">
      <c r="A165" s="352">
        <v>3778</v>
      </c>
      <c r="B165" s="354">
        <v>41496</v>
      </c>
      <c r="C165" s="257" t="s">
        <v>558</v>
      </c>
      <c r="D165" s="276">
        <v>443.73</v>
      </c>
      <c r="E165" s="413">
        <f t="shared" si="1"/>
        <v>73.457934642254074</v>
      </c>
      <c r="F165" s="257" t="s">
        <v>181</v>
      </c>
      <c r="G165" s="91" t="s">
        <v>114</v>
      </c>
      <c r="H165" s="355" t="s">
        <v>118</v>
      </c>
      <c r="I165" s="268" t="s">
        <v>1109</v>
      </c>
      <c r="J165" s="257" t="s">
        <v>832</v>
      </c>
      <c r="K165" s="355" t="s">
        <v>23</v>
      </c>
    </row>
    <row r="166" spans="1:11">
      <c r="A166" s="352">
        <v>3777</v>
      </c>
      <c r="B166" s="354">
        <v>41496</v>
      </c>
      <c r="C166" s="257" t="s">
        <v>186</v>
      </c>
      <c r="D166" s="276">
        <v>173.6</v>
      </c>
      <c r="E166" s="413">
        <f t="shared" si="1"/>
        <v>28.738866999966888</v>
      </c>
      <c r="F166" s="257" t="s">
        <v>302</v>
      </c>
      <c r="G166" s="91" t="s">
        <v>114</v>
      </c>
      <c r="H166" s="355" t="s">
        <v>1071</v>
      </c>
      <c r="I166" s="268" t="s">
        <v>1109</v>
      </c>
      <c r="J166" s="257" t="s">
        <v>832</v>
      </c>
      <c r="K166" s="356" t="s">
        <v>29</v>
      </c>
    </row>
    <row r="167" spans="1:11">
      <c r="A167" s="352">
        <v>3780</v>
      </c>
      <c r="B167" s="354">
        <v>41499</v>
      </c>
      <c r="C167" s="257" t="s">
        <v>902</v>
      </c>
      <c r="D167" s="276">
        <v>480</v>
      </c>
      <c r="E167" s="413">
        <f t="shared" si="1"/>
        <v>79.462305069032865</v>
      </c>
      <c r="F167" s="257" t="s">
        <v>270</v>
      </c>
      <c r="G167" s="91" t="s">
        <v>52</v>
      </c>
      <c r="H167" s="355" t="s">
        <v>1071</v>
      </c>
      <c r="I167" s="268" t="s">
        <v>1109</v>
      </c>
      <c r="J167" s="257" t="s">
        <v>832</v>
      </c>
      <c r="K167" s="355" t="s">
        <v>32</v>
      </c>
    </row>
    <row r="168" spans="1:11">
      <c r="A168" s="352">
        <v>3779</v>
      </c>
      <c r="B168" s="354">
        <v>41499</v>
      </c>
      <c r="C168" s="257" t="s">
        <v>903</v>
      </c>
      <c r="D168" s="276">
        <v>480</v>
      </c>
      <c r="E168" s="413">
        <f t="shared" si="1"/>
        <v>79.462305069032865</v>
      </c>
      <c r="F168" s="257" t="s">
        <v>270</v>
      </c>
      <c r="G168" s="91" t="s">
        <v>52</v>
      </c>
      <c r="H168" s="355" t="s">
        <v>1071</v>
      </c>
      <c r="I168" s="268" t="s">
        <v>1109</v>
      </c>
      <c r="J168" s="257" t="s">
        <v>832</v>
      </c>
      <c r="K168" s="356" t="s">
        <v>29</v>
      </c>
    </row>
    <row r="169" spans="1:11">
      <c r="A169" s="352">
        <v>3791</v>
      </c>
      <c r="B169" s="354">
        <v>41513</v>
      </c>
      <c r="C169" s="257" t="s">
        <v>805</v>
      </c>
      <c r="D169" s="276">
        <v>100.3</v>
      </c>
      <c r="E169" s="413">
        <f t="shared" si="1"/>
        <v>16.604310830049993</v>
      </c>
      <c r="F169" s="257" t="s">
        <v>638</v>
      </c>
      <c r="G169" s="91" t="s">
        <v>114</v>
      </c>
      <c r="H169" s="355" t="s">
        <v>1071</v>
      </c>
      <c r="I169" s="268" t="s">
        <v>1109</v>
      </c>
      <c r="J169" s="257" t="s">
        <v>188</v>
      </c>
      <c r="K169" s="356" t="s">
        <v>29</v>
      </c>
    </row>
    <row r="170" spans="1:11">
      <c r="A170" s="352">
        <v>3781</v>
      </c>
      <c r="B170" s="354">
        <v>41515</v>
      </c>
      <c r="C170" s="257" t="s">
        <v>808</v>
      </c>
      <c r="D170" s="276">
        <v>1143</v>
      </c>
      <c r="E170" s="413">
        <f t="shared" si="1"/>
        <v>189.21961394563453</v>
      </c>
      <c r="F170" s="257" t="s">
        <v>409</v>
      </c>
      <c r="G170" s="91" t="s">
        <v>52</v>
      </c>
      <c r="H170" s="355" t="s">
        <v>1071</v>
      </c>
      <c r="I170" s="268" t="s">
        <v>1109</v>
      </c>
      <c r="J170" s="257" t="s">
        <v>832</v>
      </c>
      <c r="K170" s="356" t="s">
        <v>29</v>
      </c>
    </row>
    <row r="171" spans="1:11">
      <c r="A171" s="352">
        <v>3771</v>
      </c>
      <c r="B171" s="354">
        <v>41516</v>
      </c>
      <c r="C171" s="257" t="s">
        <v>713</v>
      </c>
      <c r="D171" s="276">
        <v>10000</v>
      </c>
      <c r="E171" s="413">
        <f t="shared" si="1"/>
        <v>1655.4646889381847</v>
      </c>
      <c r="F171" s="92" t="s">
        <v>511</v>
      </c>
      <c r="G171" s="91" t="s">
        <v>51</v>
      </c>
      <c r="H171" s="355" t="s">
        <v>1071</v>
      </c>
      <c r="I171" s="268" t="s">
        <v>1109</v>
      </c>
      <c r="J171" s="91" t="s">
        <v>175</v>
      </c>
      <c r="K171" s="355" t="s">
        <v>29</v>
      </c>
    </row>
    <row r="172" spans="1:11">
      <c r="A172" s="352">
        <v>3782</v>
      </c>
      <c r="B172" s="354">
        <v>41516</v>
      </c>
      <c r="C172" s="257" t="s">
        <v>809</v>
      </c>
      <c r="D172" s="276">
        <v>1137.24</v>
      </c>
      <c r="E172" s="413">
        <f t="shared" si="1"/>
        <v>188.26606628480613</v>
      </c>
      <c r="F172" s="257" t="s">
        <v>409</v>
      </c>
      <c r="G172" s="91" t="s">
        <v>52</v>
      </c>
      <c r="H172" s="355" t="s">
        <v>118</v>
      </c>
      <c r="I172" s="268" t="s">
        <v>1109</v>
      </c>
      <c r="J172" s="257" t="s">
        <v>832</v>
      </c>
      <c r="K172" s="355" t="s">
        <v>24</v>
      </c>
    </row>
    <row r="173" spans="1:11">
      <c r="A173" s="352">
        <v>3875</v>
      </c>
      <c r="B173" s="354">
        <v>41518</v>
      </c>
      <c r="C173" s="257" t="s">
        <v>716</v>
      </c>
      <c r="D173" s="276">
        <v>186.8</v>
      </c>
      <c r="E173" s="413">
        <f>D173/6.0121</f>
        <v>31.070674140483359</v>
      </c>
      <c r="F173" s="257" t="s">
        <v>717</v>
      </c>
      <c r="G173" s="257" t="s">
        <v>106</v>
      </c>
      <c r="H173" s="355" t="s">
        <v>1071</v>
      </c>
      <c r="I173" s="268" t="s">
        <v>1109</v>
      </c>
      <c r="J173" s="257" t="s">
        <v>188</v>
      </c>
      <c r="K173" s="355" t="s">
        <v>34</v>
      </c>
    </row>
    <row r="174" spans="1:11">
      <c r="A174" s="352">
        <v>3772</v>
      </c>
      <c r="B174" s="354">
        <v>41519</v>
      </c>
      <c r="C174" s="257" t="s">
        <v>823</v>
      </c>
      <c r="D174" s="276">
        <v>7500</v>
      </c>
      <c r="E174" s="413">
        <f>D174/6.0121</f>
        <v>1247.4842401157664</v>
      </c>
      <c r="F174" s="257" t="s">
        <v>509</v>
      </c>
      <c r="G174" s="91" t="s">
        <v>51</v>
      </c>
      <c r="H174" s="355" t="s">
        <v>1071</v>
      </c>
      <c r="I174" s="268" t="s">
        <v>1109</v>
      </c>
      <c r="J174" s="257" t="s">
        <v>188</v>
      </c>
      <c r="K174" s="355" t="s">
        <v>32</v>
      </c>
    </row>
    <row r="175" spans="1:11">
      <c r="A175" s="352">
        <v>3773</v>
      </c>
      <c r="B175" s="354">
        <v>41519</v>
      </c>
      <c r="C175" s="257" t="s">
        <v>822</v>
      </c>
      <c r="D175" s="276">
        <v>4200</v>
      </c>
      <c r="E175" s="413">
        <f>D175/6.0121</f>
        <v>698.59117446482924</v>
      </c>
      <c r="F175" s="257" t="s">
        <v>510</v>
      </c>
      <c r="G175" s="91" t="s">
        <v>53</v>
      </c>
      <c r="H175" s="355" t="s">
        <v>1071</v>
      </c>
      <c r="I175" s="268" t="s">
        <v>1109</v>
      </c>
      <c r="J175" s="257" t="s">
        <v>188</v>
      </c>
      <c r="K175" s="356" t="s">
        <v>34</v>
      </c>
    </row>
    <row r="176" spans="1:11">
      <c r="A176" s="275" t="s">
        <v>1056</v>
      </c>
      <c r="B176" s="354">
        <v>41519</v>
      </c>
      <c r="C176" s="257" t="s">
        <v>819</v>
      </c>
      <c r="D176" s="276">
        <v>75000</v>
      </c>
      <c r="E176" s="413">
        <f>200+7974.84240115766</f>
        <v>8174.8424011576599</v>
      </c>
      <c r="F176" s="257" t="s">
        <v>357</v>
      </c>
      <c r="G176" s="257" t="s">
        <v>113</v>
      </c>
      <c r="H176" s="355" t="s">
        <v>118</v>
      </c>
      <c r="I176" s="268" t="s">
        <v>1109</v>
      </c>
      <c r="J176" s="257" t="s">
        <v>188</v>
      </c>
      <c r="K176" s="355" t="s">
        <v>23</v>
      </c>
    </row>
    <row r="177" spans="1:11">
      <c r="A177" s="275" t="s">
        <v>1055</v>
      </c>
      <c r="B177" s="354">
        <v>41519</v>
      </c>
      <c r="C177" s="257" t="s">
        <v>819</v>
      </c>
      <c r="D177" s="276">
        <v>75000</v>
      </c>
      <c r="E177" s="413">
        <v>4300</v>
      </c>
      <c r="F177" s="257" t="s">
        <v>357</v>
      </c>
      <c r="G177" s="257" t="s">
        <v>113</v>
      </c>
      <c r="H177" s="355" t="s">
        <v>1071</v>
      </c>
      <c r="I177" s="268" t="s">
        <v>1109</v>
      </c>
      <c r="J177" s="257" t="s">
        <v>188</v>
      </c>
      <c r="K177" s="356" t="s">
        <v>40</v>
      </c>
    </row>
    <row r="178" spans="1:11">
      <c r="A178" s="352">
        <v>3802</v>
      </c>
      <c r="B178" s="354">
        <v>41521</v>
      </c>
      <c r="C178" s="257" t="s">
        <v>831</v>
      </c>
      <c r="D178" s="276">
        <v>2096.4299999999998</v>
      </c>
      <c r="E178" s="413">
        <f t="shared" ref="E178:E211" si="2">D178/6.0121</f>
        <v>348.70178473411949</v>
      </c>
      <c r="F178" s="257" t="s">
        <v>409</v>
      </c>
      <c r="G178" s="91" t="s">
        <v>52</v>
      </c>
      <c r="H178" s="355" t="s">
        <v>118</v>
      </c>
      <c r="I178" s="268" t="s">
        <v>1109</v>
      </c>
      <c r="J178" s="257" t="s">
        <v>832</v>
      </c>
      <c r="K178" s="355" t="s">
        <v>24</v>
      </c>
    </row>
    <row r="179" spans="1:11">
      <c r="A179" s="352">
        <v>3878</v>
      </c>
      <c r="B179" s="354">
        <v>41521</v>
      </c>
      <c r="C179" s="257" t="s">
        <v>830</v>
      </c>
      <c r="D179" s="276">
        <v>158</v>
      </c>
      <c r="E179" s="413">
        <f t="shared" si="2"/>
        <v>26.280334658438814</v>
      </c>
      <c r="F179" s="257" t="s">
        <v>264</v>
      </c>
      <c r="G179" s="91" t="s">
        <v>114</v>
      </c>
      <c r="H179" s="355" t="s">
        <v>1071</v>
      </c>
      <c r="I179" s="268" t="s">
        <v>1109</v>
      </c>
      <c r="J179" s="268" t="s">
        <v>101</v>
      </c>
      <c r="K179" s="356" t="s">
        <v>29</v>
      </c>
    </row>
    <row r="180" spans="1:11">
      <c r="A180" s="352">
        <v>3856</v>
      </c>
      <c r="B180" s="354">
        <v>41524</v>
      </c>
      <c r="C180" s="257" t="s">
        <v>835</v>
      </c>
      <c r="D180" s="276">
        <v>221</v>
      </c>
      <c r="E180" s="413">
        <f t="shared" si="2"/>
        <v>36.759202275411255</v>
      </c>
      <c r="F180" s="257" t="s">
        <v>783</v>
      </c>
      <c r="G180" s="91" t="s">
        <v>132</v>
      </c>
      <c r="H180" s="356" t="s">
        <v>119</v>
      </c>
      <c r="I180" s="268" t="s">
        <v>1109</v>
      </c>
      <c r="J180" s="257" t="s">
        <v>188</v>
      </c>
      <c r="K180" s="355"/>
    </row>
    <row r="181" spans="1:11">
      <c r="A181" s="352">
        <v>3804</v>
      </c>
      <c r="B181" s="354">
        <v>41526</v>
      </c>
      <c r="C181" s="257" t="s">
        <v>942</v>
      </c>
      <c r="D181" s="276">
        <v>238.32</v>
      </c>
      <c r="E181" s="413">
        <f t="shared" si="2"/>
        <v>39.640059213918597</v>
      </c>
      <c r="F181" s="257" t="s">
        <v>409</v>
      </c>
      <c r="G181" s="91" t="s">
        <v>52</v>
      </c>
      <c r="H181" s="355" t="s">
        <v>118</v>
      </c>
      <c r="I181" s="268" t="s">
        <v>1109</v>
      </c>
      <c r="J181" s="257" t="s">
        <v>832</v>
      </c>
      <c r="K181" s="355" t="s">
        <v>24</v>
      </c>
    </row>
    <row r="182" spans="1:11">
      <c r="A182" s="352">
        <v>3803</v>
      </c>
      <c r="B182" s="354">
        <v>41526</v>
      </c>
      <c r="C182" s="257" t="s">
        <v>943</v>
      </c>
      <c r="D182" s="276">
        <v>216.22</v>
      </c>
      <c r="E182" s="413">
        <f t="shared" si="2"/>
        <v>35.964138986377471</v>
      </c>
      <c r="F182" s="257" t="s">
        <v>409</v>
      </c>
      <c r="G182" s="91" t="s">
        <v>52</v>
      </c>
      <c r="H182" s="355" t="s">
        <v>118</v>
      </c>
      <c r="I182" s="268" t="s">
        <v>1109</v>
      </c>
      <c r="J182" s="257" t="s">
        <v>832</v>
      </c>
      <c r="K182" s="355" t="s">
        <v>24</v>
      </c>
    </row>
    <row r="183" spans="1:11">
      <c r="A183" s="352">
        <v>3806</v>
      </c>
      <c r="B183" s="354">
        <v>41528</v>
      </c>
      <c r="C183" s="257" t="s">
        <v>948</v>
      </c>
      <c r="D183" s="276">
        <v>480</v>
      </c>
      <c r="E183" s="413">
        <f t="shared" si="2"/>
        <v>79.838991367409051</v>
      </c>
      <c r="F183" s="257" t="s">
        <v>270</v>
      </c>
      <c r="G183" s="91" t="s">
        <v>52</v>
      </c>
      <c r="H183" s="355" t="s">
        <v>118</v>
      </c>
      <c r="I183" s="268" t="s">
        <v>1109</v>
      </c>
      <c r="J183" s="257" t="s">
        <v>832</v>
      </c>
      <c r="K183" s="355" t="s">
        <v>24</v>
      </c>
    </row>
    <row r="184" spans="1:11">
      <c r="A184" s="352">
        <v>3807</v>
      </c>
      <c r="B184" s="354">
        <v>41528</v>
      </c>
      <c r="C184" s="257" t="s">
        <v>947</v>
      </c>
      <c r="D184" s="276">
        <v>480</v>
      </c>
      <c r="E184" s="413">
        <f t="shared" si="2"/>
        <v>79.838991367409051</v>
      </c>
      <c r="F184" s="257" t="s">
        <v>270</v>
      </c>
      <c r="G184" s="91" t="s">
        <v>52</v>
      </c>
      <c r="H184" s="355" t="s">
        <v>1071</v>
      </c>
      <c r="I184" s="268" t="s">
        <v>1109</v>
      </c>
      <c r="J184" s="257" t="s">
        <v>832</v>
      </c>
      <c r="K184" s="356" t="s">
        <v>32</v>
      </c>
    </row>
    <row r="185" spans="1:11">
      <c r="A185" s="352">
        <v>3808</v>
      </c>
      <c r="B185" s="354">
        <v>41528</v>
      </c>
      <c r="C185" s="257" t="s">
        <v>946</v>
      </c>
      <c r="D185" s="276">
        <v>955.68</v>
      </c>
      <c r="E185" s="413">
        <f t="shared" si="2"/>
        <v>158.95943181251141</v>
      </c>
      <c r="F185" s="257" t="s">
        <v>303</v>
      </c>
      <c r="G185" s="91" t="s">
        <v>116</v>
      </c>
      <c r="H185" s="355" t="s">
        <v>118</v>
      </c>
      <c r="I185" s="268" t="s">
        <v>1109</v>
      </c>
      <c r="J185" s="257" t="s">
        <v>832</v>
      </c>
      <c r="K185" s="355" t="s">
        <v>23</v>
      </c>
    </row>
    <row r="186" spans="1:11">
      <c r="A186" s="352">
        <v>3805</v>
      </c>
      <c r="B186" s="354">
        <v>41528</v>
      </c>
      <c r="C186" s="257" t="s">
        <v>558</v>
      </c>
      <c r="D186" s="276">
        <v>471.56</v>
      </c>
      <c r="E186" s="413">
        <f t="shared" si="2"/>
        <v>78.435155769198786</v>
      </c>
      <c r="F186" s="257" t="s">
        <v>181</v>
      </c>
      <c r="G186" s="91" t="s">
        <v>114</v>
      </c>
      <c r="H186" s="355" t="s">
        <v>118</v>
      </c>
      <c r="I186" s="268" t="s">
        <v>1109</v>
      </c>
      <c r="J186" s="257" t="s">
        <v>832</v>
      </c>
      <c r="K186" s="355" t="s">
        <v>23</v>
      </c>
    </row>
    <row r="187" spans="1:11">
      <c r="A187" s="352">
        <v>3809</v>
      </c>
      <c r="B187" s="354">
        <v>41531</v>
      </c>
      <c r="C187" s="257" t="s">
        <v>186</v>
      </c>
      <c r="D187" s="276">
        <v>173.6</v>
      </c>
      <c r="E187" s="413">
        <f t="shared" si="2"/>
        <v>28.875101877879608</v>
      </c>
      <c r="F187" s="257" t="s">
        <v>302</v>
      </c>
      <c r="G187" s="91" t="s">
        <v>114</v>
      </c>
      <c r="H187" s="355" t="s">
        <v>1071</v>
      </c>
      <c r="I187" s="268" t="s">
        <v>1109</v>
      </c>
      <c r="J187" s="257" t="s">
        <v>832</v>
      </c>
      <c r="K187" s="356" t="s">
        <v>29</v>
      </c>
    </row>
    <row r="188" spans="1:11">
      <c r="A188" s="352">
        <v>3873</v>
      </c>
      <c r="B188" s="354">
        <v>41532</v>
      </c>
      <c r="C188" s="257" t="s">
        <v>733</v>
      </c>
      <c r="D188" s="276">
        <v>289</v>
      </c>
      <c r="E188" s="413">
        <f t="shared" si="2"/>
        <v>48.069726052460872</v>
      </c>
      <c r="F188" s="257" t="s">
        <v>852</v>
      </c>
      <c r="G188" s="91" t="s">
        <v>114</v>
      </c>
      <c r="H188" s="355" t="s">
        <v>1071</v>
      </c>
      <c r="I188" s="268" t="s">
        <v>1109</v>
      </c>
      <c r="J188" s="257" t="s">
        <v>188</v>
      </c>
      <c r="K188" s="356" t="s">
        <v>29</v>
      </c>
    </row>
    <row r="189" spans="1:11">
      <c r="A189" s="352">
        <v>3816</v>
      </c>
      <c r="B189" s="354">
        <v>41539</v>
      </c>
      <c r="C189" s="257" t="s">
        <v>770</v>
      </c>
      <c r="D189" s="276">
        <v>314</v>
      </c>
      <c r="E189" s="413">
        <f t="shared" si="2"/>
        <v>52.228006852846754</v>
      </c>
      <c r="F189" s="257" t="s">
        <v>264</v>
      </c>
      <c r="G189" s="268" t="s">
        <v>106</v>
      </c>
      <c r="H189" s="356" t="s">
        <v>119</v>
      </c>
      <c r="I189" s="268" t="s">
        <v>1109</v>
      </c>
      <c r="J189" s="257" t="s">
        <v>188</v>
      </c>
      <c r="K189" s="356"/>
    </row>
    <row r="190" spans="1:11">
      <c r="A190" s="352">
        <v>3814</v>
      </c>
      <c r="B190" s="354">
        <v>41540</v>
      </c>
      <c r="C190" s="257" t="s">
        <v>880</v>
      </c>
      <c r="D190" s="276">
        <v>242</v>
      </c>
      <c r="E190" s="413">
        <f t="shared" si="2"/>
        <v>40.2521581477354</v>
      </c>
      <c r="F190" s="257" t="s">
        <v>609</v>
      </c>
      <c r="G190" s="268" t="s">
        <v>106</v>
      </c>
      <c r="H190" s="356" t="s">
        <v>119</v>
      </c>
      <c r="I190" s="268" t="s">
        <v>1109</v>
      </c>
      <c r="J190" s="257" t="s">
        <v>188</v>
      </c>
      <c r="K190" s="356"/>
    </row>
    <row r="191" spans="1:11">
      <c r="A191" s="352">
        <v>3823</v>
      </c>
      <c r="B191" s="354">
        <v>41540</v>
      </c>
      <c r="C191" s="257" t="s">
        <v>876</v>
      </c>
      <c r="D191" s="276">
        <v>700</v>
      </c>
      <c r="E191" s="413">
        <f t="shared" si="2"/>
        <v>116.43186241080487</v>
      </c>
      <c r="F191" s="257" t="s">
        <v>877</v>
      </c>
      <c r="G191" s="268" t="s">
        <v>106</v>
      </c>
      <c r="H191" s="356" t="s">
        <v>119</v>
      </c>
      <c r="I191" s="268" t="s">
        <v>1109</v>
      </c>
      <c r="J191" s="257" t="s">
        <v>188</v>
      </c>
      <c r="K191" s="356"/>
    </row>
    <row r="192" spans="1:11">
      <c r="A192" s="352">
        <v>3863</v>
      </c>
      <c r="B192" s="354">
        <v>41541</v>
      </c>
      <c r="C192" s="257" t="s">
        <v>884</v>
      </c>
      <c r="D192" s="276">
        <v>1830</v>
      </c>
      <c r="E192" s="413">
        <f t="shared" si="2"/>
        <v>304.38615458824705</v>
      </c>
      <c r="F192" s="257" t="s">
        <v>641</v>
      </c>
      <c r="G192" s="268" t="s">
        <v>106</v>
      </c>
      <c r="H192" s="356" t="s">
        <v>119</v>
      </c>
      <c r="I192" s="268" t="s">
        <v>1109</v>
      </c>
      <c r="J192" s="257" t="s">
        <v>188</v>
      </c>
      <c r="K192" s="356"/>
    </row>
    <row r="193" spans="1:11">
      <c r="A193" s="352">
        <v>3839</v>
      </c>
      <c r="B193" s="354">
        <v>41542</v>
      </c>
      <c r="C193" s="257" t="s">
        <v>890</v>
      </c>
      <c r="D193" s="276">
        <v>553</v>
      </c>
      <c r="E193" s="413">
        <f t="shared" si="2"/>
        <v>91.981171304535849</v>
      </c>
      <c r="F193" s="257" t="s">
        <v>559</v>
      </c>
      <c r="G193" s="91" t="s">
        <v>132</v>
      </c>
      <c r="H193" s="356" t="s">
        <v>119</v>
      </c>
      <c r="I193" s="268" t="s">
        <v>1109</v>
      </c>
      <c r="J193" s="257" t="s">
        <v>188</v>
      </c>
      <c r="K193" s="356"/>
    </row>
    <row r="194" spans="1:11">
      <c r="A194" s="352">
        <v>3825</v>
      </c>
      <c r="B194" s="354">
        <v>41542</v>
      </c>
      <c r="C194" s="257" t="s">
        <v>892</v>
      </c>
      <c r="D194" s="276">
        <v>66</v>
      </c>
      <c r="E194" s="413">
        <f t="shared" si="2"/>
        <v>10.977861313018746</v>
      </c>
      <c r="F194" s="257" t="s">
        <v>179</v>
      </c>
      <c r="G194" s="91" t="s">
        <v>132</v>
      </c>
      <c r="H194" s="356" t="s">
        <v>119</v>
      </c>
      <c r="I194" s="268" t="s">
        <v>1109</v>
      </c>
      <c r="J194" s="257" t="s">
        <v>188</v>
      </c>
      <c r="K194" s="355"/>
    </row>
    <row r="195" spans="1:11">
      <c r="A195" s="352">
        <v>3820</v>
      </c>
      <c r="B195" s="354">
        <v>41542</v>
      </c>
      <c r="C195" s="257" t="s">
        <v>993</v>
      </c>
      <c r="D195" s="276">
        <v>68</v>
      </c>
      <c r="E195" s="413">
        <f t="shared" si="2"/>
        <v>11.310523777049616</v>
      </c>
      <c r="F195" s="257" t="s">
        <v>783</v>
      </c>
      <c r="G195" s="91" t="s">
        <v>132</v>
      </c>
      <c r="H195" s="356" t="s">
        <v>119</v>
      </c>
      <c r="I195" s="268" t="s">
        <v>1109</v>
      </c>
      <c r="J195" s="257" t="s">
        <v>188</v>
      </c>
      <c r="K195" s="355"/>
    </row>
    <row r="196" spans="1:11">
      <c r="A196" s="352">
        <v>3821</v>
      </c>
      <c r="B196" s="354">
        <v>41542</v>
      </c>
      <c r="C196" s="257" t="s">
        <v>992</v>
      </c>
      <c r="D196" s="276">
        <v>73</v>
      </c>
      <c r="E196" s="413">
        <f t="shared" si="2"/>
        <v>12.142179937126794</v>
      </c>
      <c r="F196" s="257" t="s">
        <v>179</v>
      </c>
      <c r="G196" s="91" t="s">
        <v>132</v>
      </c>
      <c r="H196" s="356" t="s">
        <v>119</v>
      </c>
      <c r="I196" s="268" t="s">
        <v>1109</v>
      </c>
      <c r="J196" s="257" t="s">
        <v>188</v>
      </c>
      <c r="K196" s="355"/>
    </row>
    <row r="197" spans="1:11">
      <c r="A197" s="352">
        <v>3831</v>
      </c>
      <c r="B197" s="354">
        <v>41544</v>
      </c>
      <c r="C197" s="257" t="s">
        <v>813</v>
      </c>
      <c r="D197" s="276">
        <v>1106</v>
      </c>
      <c r="E197" s="413">
        <f t="shared" si="2"/>
        <v>183.9623426090717</v>
      </c>
      <c r="F197" s="257" t="s">
        <v>559</v>
      </c>
      <c r="G197" s="91" t="s">
        <v>132</v>
      </c>
      <c r="H197" s="356" t="s">
        <v>119</v>
      </c>
      <c r="I197" s="268" t="s">
        <v>1109</v>
      </c>
      <c r="J197" s="257" t="s">
        <v>188</v>
      </c>
      <c r="K197" s="356"/>
    </row>
    <row r="198" spans="1:11">
      <c r="A198" s="352">
        <v>3830</v>
      </c>
      <c r="B198" s="354">
        <v>41544</v>
      </c>
      <c r="C198" s="257" t="s">
        <v>814</v>
      </c>
      <c r="D198" s="276">
        <v>1659</v>
      </c>
      <c r="E198" s="413">
        <f t="shared" si="2"/>
        <v>275.94351391360755</v>
      </c>
      <c r="F198" s="257" t="s">
        <v>559</v>
      </c>
      <c r="G198" s="91" t="s">
        <v>132</v>
      </c>
      <c r="H198" s="356" t="s">
        <v>119</v>
      </c>
      <c r="I198" s="268" t="s">
        <v>1109</v>
      </c>
      <c r="J198" s="257" t="s">
        <v>188</v>
      </c>
      <c r="K198" s="356"/>
    </row>
    <row r="199" spans="1:11">
      <c r="A199" s="352">
        <v>3835</v>
      </c>
      <c r="B199" s="354">
        <v>41544</v>
      </c>
      <c r="C199" s="257" t="s">
        <v>810</v>
      </c>
      <c r="D199" s="276">
        <v>932.5</v>
      </c>
      <c r="E199" s="413">
        <f t="shared" si="2"/>
        <v>155.10387385439364</v>
      </c>
      <c r="F199" s="257" t="s">
        <v>559</v>
      </c>
      <c r="G199" s="91" t="s">
        <v>132</v>
      </c>
      <c r="H199" s="356" t="s">
        <v>119</v>
      </c>
      <c r="I199" s="268" t="s">
        <v>1109</v>
      </c>
      <c r="J199" s="257" t="s">
        <v>188</v>
      </c>
      <c r="K199" s="356"/>
    </row>
    <row r="200" spans="1:11">
      <c r="A200" s="352">
        <v>3842</v>
      </c>
      <c r="B200" s="354">
        <v>41544</v>
      </c>
      <c r="C200" s="257" t="s">
        <v>908</v>
      </c>
      <c r="D200" s="276">
        <v>54</v>
      </c>
      <c r="E200" s="413">
        <f t="shared" si="2"/>
        <v>8.9818865288335186</v>
      </c>
      <c r="F200" s="257" t="s">
        <v>179</v>
      </c>
      <c r="G200" s="91" t="s">
        <v>132</v>
      </c>
      <c r="H200" s="356" t="s">
        <v>119</v>
      </c>
      <c r="I200" s="268" t="s">
        <v>1109</v>
      </c>
      <c r="J200" s="257" t="s">
        <v>188</v>
      </c>
      <c r="K200" s="355"/>
    </row>
    <row r="201" spans="1:11">
      <c r="A201" s="352">
        <v>3854</v>
      </c>
      <c r="B201" s="354">
        <v>41544</v>
      </c>
      <c r="C201" s="257" t="s">
        <v>907</v>
      </c>
      <c r="D201" s="276">
        <v>210</v>
      </c>
      <c r="E201" s="413">
        <f t="shared" si="2"/>
        <v>34.929558723241463</v>
      </c>
      <c r="F201" s="257" t="s">
        <v>783</v>
      </c>
      <c r="G201" s="91" t="s">
        <v>132</v>
      </c>
      <c r="H201" s="356" t="s">
        <v>119</v>
      </c>
      <c r="I201" s="268" t="s">
        <v>1109</v>
      </c>
      <c r="J201" s="257" t="s">
        <v>188</v>
      </c>
      <c r="K201" s="355"/>
    </row>
    <row r="202" spans="1:11">
      <c r="A202" s="352">
        <v>3841</v>
      </c>
      <c r="B202" s="354">
        <v>41544</v>
      </c>
      <c r="C202" s="257" t="s">
        <v>909</v>
      </c>
      <c r="D202" s="276">
        <v>85</v>
      </c>
      <c r="E202" s="413">
        <f t="shared" si="2"/>
        <v>14.13815472131202</v>
      </c>
      <c r="F202" s="257" t="s">
        <v>179</v>
      </c>
      <c r="G202" s="91" t="s">
        <v>132</v>
      </c>
      <c r="H202" s="356" t="s">
        <v>119</v>
      </c>
      <c r="I202" s="268" t="s">
        <v>1109</v>
      </c>
      <c r="J202" s="257" t="s">
        <v>188</v>
      </c>
      <c r="K202" s="355"/>
    </row>
    <row r="203" spans="1:11">
      <c r="A203" s="352">
        <v>3838</v>
      </c>
      <c r="B203" s="354">
        <v>41544</v>
      </c>
      <c r="C203" s="257" t="s">
        <v>910</v>
      </c>
      <c r="D203" s="276">
        <v>18</v>
      </c>
      <c r="E203" s="413">
        <f t="shared" si="2"/>
        <v>2.9939621762778397</v>
      </c>
      <c r="F203" s="257" t="s">
        <v>783</v>
      </c>
      <c r="G203" s="91" t="s">
        <v>132</v>
      </c>
      <c r="H203" s="356" t="s">
        <v>119</v>
      </c>
      <c r="I203" s="268" t="s">
        <v>1109</v>
      </c>
      <c r="J203" s="257" t="s">
        <v>188</v>
      </c>
      <c r="K203" s="355"/>
    </row>
    <row r="204" spans="1:11">
      <c r="A204" s="352">
        <v>3834</v>
      </c>
      <c r="B204" s="354">
        <v>41544</v>
      </c>
      <c r="C204" s="257" t="s">
        <v>811</v>
      </c>
      <c r="D204" s="276">
        <v>54</v>
      </c>
      <c r="E204" s="413">
        <f t="shared" si="2"/>
        <v>8.9818865288335186</v>
      </c>
      <c r="F204" s="257" t="s">
        <v>783</v>
      </c>
      <c r="G204" s="91" t="s">
        <v>132</v>
      </c>
      <c r="H204" s="356" t="s">
        <v>119</v>
      </c>
      <c r="I204" s="268" t="s">
        <v>1109</v>
      </c>
      <c r="J204" s="257" t="s">
        <v>188</v>
      </c>
      <c r="K204" s="355"/>
    </row>
    <row r="205" spans="1:11">
      <c r="A205" s="352">
        <v>3829</v>
      </c>
      <c r="B205" s="354">
        <v>41544</v>
      </c>
      <c r="C205" s="257" t="s">
        <v>815</v>
      </c>
      <c r="D205" s="276">
        <v>232</v>
      </c>
      <c r="E205" s="413">
        <f t="shared" si="2"/>
        <v>38.588845827581046</v>
      </c>
      <c r="F205" s="257" t="s">
        <v>609</v>
      </c>
      <c r="G205" s="268" t="s">
        <v>106</v>
      </c>
      <c r="H205" s="356" t="s">
        <v>119</v>
      </c>
      <c r="I205" s="268" t="s">
        <v>1109</v>
      </c>
      <c r="J205" s="257" t="s">
        <v>188</v>
      </c>
      <c r="K205" s="356"/>
    </row>
    <row r="206" spans="1:11">
      <c r="A206" s="352">
        <v>3824</v>
      </c>
      <c r="B206" s="354">
        <v>41544</v>
      </c>
      <c r="C206" s="257" t="s">
        <v>816</v>
      </c>
      <c r="D206" s="276">
        <v>164</v>
      </c>
      <c r="E206" s="413">
        <f t="shared" si="2"/>
        <v>27.278322050531429</v>
      </c>
      <c r="F206" s="257" t="s">
        <v>817</v>
      </c>
      <c r="G206" s="257" t="s">
        <v>106</v>
      </c>
      <c r="H206" s="356" t="s">
        <v>119</v>
      </c>
      <c r="I206" s="268" t="s">
        <v>1109</v>
      </c>
      <c r="J206" s="257" t="s">
        <v>188</v>
      </c>
      <c r="K206" s="356"/>
    </row>
    <row r="207" spans="1:11">
      <c r="A207" s="352">
        <v>3801</v>
      </c>
      <c r="B207" s="354">
        <v>41545</v>
      </c>
      <c r="C207" s="257" t="s">
        <v>931</v>
      </c>
      <c r="D207" s="276">
        <v>10000</v>
      </c>
      <c r="E207" s="413">
        <f t="shared" si="2"/>
        <v>1663.3123201543553</v>
      </c>
      <c r="F207" s="92" t="s">
        <v>511</v>
      </c>
      <c r="G207" s="91" t="s">
        <v>51</v>
      </c>
      <c r="H207" s="355" t="s">
        <v>1071</v>
      </c>
      <c r="I207" s="268" t="s">
        <v>1109</v>
      </c>
      <c r="J207" s="268" t="s">
        <v>175</v>
      </c>
      <c r="K207" s="355" t="s">
        <v>29</v>
      </c>
    </row>
    <row r="208" spans="1:11">
      <c r="A208" s="352">
        <v>3800</v>
      </c>
      <c r="B208" s="354">
        <v>41545</v>
      </c>
      <c r="C208" s="257" t="s">
        <v>932</v>
      </c>
      <c r="D208" s="276">
        <v>4200</v>
      </c>
      <c r="E208" s="413">
        <f t="shared" si="2"/>
        <v>698.59117446482924</v>
      </c>
      <c r="F208" s="257" t="s">
        <v>510</v>
      </c>
      <c r="G208" s="91" t="s">
        <v>53</v>
      </c>
      <c r="H208" s="355" t="s">
        <v>1071</v>
      </c>
      <c r="I208" s="268" t="s">
        <v>1109</v>
      </c>
      <c r="J208" s="257" t="s">
        <v>832</v>
      </c>
      <c r="K208" s="356" t="s">
        <v>34</v>
      </c>
    </row>
    <row r="209" spans="1:11">
      <c r="A209" s="352">
        <v>3840</v>
      </c>
      <c r="B209" s="354">
        <v>41545</v>
      </c>
      <c r="C209" s="257" t="s">
        <v>930</v>
      </c>
      <c r="D209" s="276">
        <v>26</v>
      </c>
      <c r="E209" s="413">
        <f t="shared" si="2"/>
        <v>4.3246120324013235</v>
      </c>
      <c r="F209" s="257" t="s">
        <v>179</v>
      </c>
      <c r="G209" s="91" t="s">
        <v>132</v>
      </c>
      <c r="H209" s="356" t="s">
        <v>119</v>
      </c>
      <c r="I209" s="268" t="s">
        <v>1109</v>
      </c>
      <c r="J209" s="257" t="s">
        <v>188</v>
      </c>
      <c r="K209" s="355"/>
    </row>
    <row r="210" spans="1:11">
      <c r="A210" s="352">
        <v>3810</v>
      </c>
      <c r="B210" s="354">
        <v>41547</v>
      </c>
      <c r="C210" s="257" t="s">
        <v>937</v>
      </c>
      <c r="D210" s="276">
        <v>2096.4299999999998</v>
      </c>
      <c r="E210" s="413">
        <f t="shared" si="2"/>
        <v>348.70178473411949</v>
      </c>
      <c r="F210" s="257" t="s">
        <v>409</v>
      </c>
      <c r="G210" s="91" t="s">
        <v>52</v>
      </c>
      <c r="H210" s="355" t="s">
        <v>118</v>
      </c>
      <c r="I210" s="268" t="s">
        <v>1109</v>
      </c>
      <c r="J210" s="257" t="s">
        <v>832</v>
      </c>
      <c r="K210" s="355" t="s">
        <v>24</v>
      </c>
    </row>
    <row r="211" spans="1:11">
      <c r="A211" s="352">
        <v>3811</v>
      </c>
      <c r="B211" s="354">
        <v>41547</v>
      </c>
      <c r="C211" s="257" t="s">
        <v>936</v>
      </c>
      <c r="D211" s="276">
        <v>1137.24</v>
      </c>
      <c r="E211" s="413">
        <f t="shared" si="2"/>
        <v>189.15853029723391</v>
      </c>
      <c r="F211" s="257" t="s">
        <v>409</v>
      </c>
      <c r="G211" s="91" t="s">
        <v>52</v>
      </c>
      <c r="H211" s="355" t="s">
        <v>118</v>
      </c>
      <c r="I211" s="268" t="s">
        <v>1109</v>
      </c>
      <c r="J211" s="257" t="s">
        <v>832</v>
      </c>
      <c r="K211" s="355" t="s">
        <v>24</v>
      </c>
    </row>
    <row r="212" spans="1:11">
      <c r="A212" s="352">
        <v>3932</v>
      </c>
      <c r="B212" s="354">
        <v>41558</v>
      </c>
      <c r="C212" s="257" t="s">
        <v>952</v>
      </c>
      <c r="D212" s="276">
        <v>173.6</v>
      </c>
      <c r="E212" s="413">
        <f t="shared" ref="E212:E231" si="3">D212/6.0043</f>
        <v>28.912612627616873</v>
      </c>
      <c r="F212" s="257" t="s">
        <v>302</v>
      </c>
      <c r="G212" s="91" t="s">
        <v>114</v>
      </c>
      <c r="H212" s="355" t="s">
        <v>118</v>
      </c>
      <c r="I212" s="268" t="s">
        <v>1109</v>
      </c>
      <c r="J212" s="268" t="s">
        <v>832</v>
      </c>
      <c r="K212" s="355" t="s">
        <v>23</v>
      </c>
    </row>
    <row r="213" spans="1:11">
      <c r="A213" s="352">
        <v>3843</v>
      </c>
      <c r="B213" s="354">
        <v>41558</v>
      </c>
      <c r="C213" s="257" t="s">
        <v>954</v>
      </c>
      <c r="D213" s="276">
        <v>1148</v>
      </c>
      <c r="E213" s="413">
        <f t="shared" si="3"/>
        <v>191.19630931165997</v>
      </c>
      <c r="F213" s="257" t="s">
        <v>955</v>
      </c>
      <c r="G213" s="268" t="s">
        <v>106</v>
      </c>
      <c r="H213" s="356" t="s">
        <v>119</v>
      </c>
      <c r="I213" s="268" t="s">
        <v>1109</v>
      </c>
      <c r="J213" s="257" t="s">
        <v>188</v>
      </c>
      <c r="K213" s="356"/>
    </row>
    <row r="214" spans="1:11">
      <c r="A214" s="352">
        <v>3933</v>
      </c>
      <c r="B214" s="354">
        <v>41559</v>
      </c>
      <c r="C214" s="257" t="s">
        <v>956</v>
      </c>
      <c r="D214" s="276">
        <v>360.5</v>
      </c>
      <c r="E214" s="413">
        <f t="shared" si="3"/>
        <v>60.040304448478594</v>
      </c>
      <c r="F214" s="257" t="s">
        <v>181</v>
      </c>
      <c r="G214" s="91" t="s">
        <v>114</v>
      </c>
      <c r="H214" s="355" t="s">
        <v>118</v>
      </c>
      <c r="I214" s="268" t="s">
        <v>1109</v>
      </c>
      <c r="J214" s="268" t="s">
        <v>832</v>
      </c>
      <c r="K214" s="355" t="s">
        <v>23</v>
      </c>
    </row>
    <row r="215" spans="1:11">
      <c r="A215" s="352">
        <v>3885</v>
      </c>
      <c r="B215" s="354">
        <v>41559</v>
      </c>
      <c r="C215" s="257" t="s">
        <v>957</v>
      </c>
      <c r="D215" s="276">
        <v>519.5</v>
      </c>
      <c r="E215" s="413">
        <f t="shared" si="3"/>
        <v>86.521326382759028</v>
      </c>
      <c r="F215" s="257" t="s">
        <v>559</v>
      </c>
      <c r="G215" s="91" t="s">
        <v>132</v>
      </c>
      <c r="H215" s="355" t="s">
        <v>1071</v>
      </c>
      <c r="I215" s="268" t="s">
        <v>1109</v>
      </c>
      <c r="J215" s="257" t="s">
        <v>188</v>
      </c>
      <c r="K215" s="356" t="s">
        <v>39</v>
      </c>
    </row>
    <row r="216" spans="1:11">
      <c r="A216" s="352">
        <v>3845</v>
      </c>
      <c r="B216" s="354">
        <v>41561</v>
      </c>
      <c r="C216" s="257" t="s">
        <v>964</v>
      </c>
      <c r="D216" s="276">
        <v>28</v>
      </c>
      <c r="E216" s="413">
        <f t="shared" si="3"/>
        <v>4.6633246173575609</v>
      </c>
      <c r="F216" s="257" t="s">
        <v>179</v>
      </c>
      <c r="G216" s="91" t="s">
        <v>132</v>
      </c>
      <c r="H216" s="356" t="s">
        <v>119</v>
      </c>
      <c r="I216" s="268" t="s">
        <v>1109</v>
      </c>
      <c r="J216" s="257" t="s">
        <v>188</v>
      </c>
      <c r="K216" s="355"/>
    </row>
    <row r="217" spans="1:11">
      <c r="A217" s="352">
        <v>3848</v>
      </c>
      <c r="B217" s="354">
        <v>41561</v>
      </c>
      <c r="C217" s="257" t="s">
        <v>960</v>
      </c>
      <c r="D217" s="276">
        <v>125</v>
      </c>
      <c r="E217" s="413">
        <f t="shared" si="3"/>
        <v>20.818413470346254</v>
      </c>
      <c r="F217" s="257" t="s">
        <v>179</v>
      </c>
      <c r="G217" s="91" t="s">
        <v>132</v>
      </c>
      <c r="H217" s="356" t="s">
        <v>119</v>
      </c>
      <c r="I217" s="268" t="s">
        <v>1109</v>
      </c>
      <c r="J217" s="257" t="s">
        <v>188</v>
      </c>
      <c r="K217" s="355"/>
    </row>
    <row r="218" spans="1:11">
      <c r="A218" s="352">
        <v>3847</v>
      </c>
      <c r="B218" s="354">
        <v>41561</v>
      </c>
      <c r="C218" s="257" t="s">
        <v>961</v>
      </c>
      <c r="D218" s="276">
        <v>40</v>
      </c>
      <c r="E218" s="413">
        <f t="shared" si="3"/>
        <v>6.661892310510801</v>
      </c>
      <c r="F218" s="257" t="s">
        <v>403</v>
      </c>
      <c r="G218" s="91" t="s">
        <v>132</v>
      </c>
      <c r="H218" s="356" t="s">
        <v>119</v>
      </c>
      <c r="I218" s="268" t="s">
        <v>1109</v>
      </c>
      <c r="J218" s="257" t="s">
        <v>188</v>
      </c>
      <c r="K218" s="355"/>
    </row>
    <row r="219" spans="1:11">
      <c r="A219" s="352">
        <v>3846</v>
      </c>
      <c r="B219" s="354">
        <v>41561</v>
      </c>
      <c r="C219" s="257" t="s">
        <v>962</v>
      </c>
      <c r="D219" s="276">
        <v>1000</v>
      </c>
      <c r="E219" s="413">
        <f t="shared" si="3"/>
        <v>166.54730776277003</v>
      </c>
      <c r="F219" s="257" t="s">
        <v>963</v>
      </c>
      <c r="G219" s="91" t="s">
        <v>132</v>
      </c>
      <c r="H219" s="356" t="s">
        <v>119</v>
      </c>
      <c r="I219" s="268" t="s">
        <v>1109</v>
      </c>
      <c r="J219" s="257" t="s">
        <v>188</v>
      </c>
      <c r="K219" s="355"/>
    </row>
    <row r="220" spans="1:11">
      <c r="A220" s="352">
        <v>3851</v>
      </c>
      <c r="B220" s="354">
        <v>41561</v>
      </c>
      <c r="C220" s="257" t="s">
        <v>959</v>
      </c>
      <c r="D220" s="276">
        <v>1106</v>
      </c>
      <c r="E220" s="413">
        <f t="shared" si="3"/>
        <v>184.20132238562366</v>
      </c>
      <c r="F220" s="257" t="s">
        <v>559</v>
      </c>
      <c r="G220" s="91" t="s">
        <v>132</v>
      </c>
      <c r="H220" s="356" t="s">
        <v>119</v>
      </c>
      <c r="I220" s="268" t="s">
        <v>1109</v>
      </c>
      <c r="J220" s="257" t="s">
        <v>188</v>
      </c>
      <c r="K220" s="356"/>
    </row>
    <row r="221" spans="1:11">
      <c r="A221" s="352">
        <v>3934</v>
      </c>
      <c r="B221" s="354">
        <v>41563</v>
      </c>
      <c r="C221" s="257" t="s">
        <v>864</v>
      </c>
      <c r="D221" s="276">
        <v>627.9</v>
      </c>
      <c r="E221" s="413">
        <f t="shared" si="3"/>
        <v>104.57505454424329</v>
      </c>
      <c r="F221" s="257" t="s">
        <v>303</v>
      </c>
      <c r="G221" s="91" t="s">
        <v>116</v>
      </c>
      <c r="H221" s="355" t="s">
        <v>118</v>
      </c>
      <c r="I221" s="268" t="s">
        <v>1109</v>
      </c>
      <c r="J221" s="268" t="s">
        <v>832</v>
      </c>
      <c r="K221" s="355" t="s">
        <v>23</v>
      </c>
    </row>
    <row r="222" spans="1:11">
      <c r="A222" s="352">
        <v>3925</v>
      </c>
      <c r="B222" s="354">
        <v>41565</v>
      </c>
      <c r="C222" s="257" t="s">
        <v>868</v>
      </c>
      <c r="D222" s="276">
        <v>304</v>
      </c>
      <c r="E222" s="413">
        <f t="shared" si="3"/>
        <v>50.630381559882089</v>
      </c>
      <c r="F222" s="257" t="s">
        <v>179</v>
      </c>
      <c r="G222" s="91" t="s">
        <v>132</v>
      </c>
      <c r="H222" s="355" t="s">
        <v>1071</v>
      </c>
      <c r="I222" s="268" t="s">
        <v>1109</v>
      </c>
      <c r="J222" s="91" t="s">
        <v>291</v>
      </c>
      <c r="K222" s="355" t="s">
        <v>29</v>
      </c>
    </row>
    <row r="223" spans="1:11">
      <c r="A223" s="352">
        <v>3936</v>
      </c>
      <c r="B223" s="354">
        <v>41569</v>
      </c>
      <c r="C223" s="257" t="s">
        <v>869</v>
      </c>
      <c r="D223" s="276">
        <v>480</v>
      </c>
      <c r="E223" s="413">
        <f t="shared" si="3"/>
        <v>79.942707726129612</v>
      </c>
      <c r="F223" s="257" t="s">
        <v>270</v>
      </c>
      <c r="G223" s="91" t="s">
        <v>52</v>
      </c>
      <c r="H223" s="355" t="s">
        <v>118</v>
      </c>
      <c r="I223" s="268" t="s">
        <v>1109</v>
      </c>
      <c r="J223" s="268" t="s">
        <v>832</v>
      </c>
      <c r="K223" s="355" t="s">
        <v>24</v>
      </c>
    </row>
    <row r="224" spans="1:11">
      <c r="A224" s="352">
        <v>3935</v>
      </c>
      <c r="B224" s="354">
        <v>41569</v>
      </c>
      <c r="C224" s="257" t="s">
        <v>870</v>
      </c>
      <c r="D224" s="276">
        <v>480</v>
      </c>
      <c r="E224" s="413">
        <f t="shared" si="3"/>
        <v>79.942707726129612</v>
      </c>
      <c r="F224" s="257" t="s">
        <v>270</v>
      </c>
      <c r="G224" s="91" t="s">
        <v>52</v>
      </c>
      <c r="H224" s="355" t="s">
        <v>1071</v>
      </c>
      <c r="I224" s="268" t="s">
        <v>1109</v>
      </c>
      <c r="J224" s="268" t="s">
        <v>832</v>
      </c>
      <c r="K224" s="356" t="s">
        <v>29</v>
      </c>
    </row>
    <row r="225" spans="1:15">
      <c r="A225" s="352">
        <v>3890</v>
      </c>
      <c r="B225" s="354">
        <v>41576</v>
      </c>
      <c r="C225" s="257" t="s">
        <v>873</v>
      </c>
      <c r="D225" s="276">
        <v>32</v>
      </c>
      <c r="E225" s="413">
        <f t="shared" si="3"/>
        <v>5.3295138484086406</v>
      </c>
      <c r="F225" s="257" t="s">
        <v>874</v>
      </c>
      <c r="G225" s="91" t="s">
        <v>114</v>
      </c>
      <c r="H225" s="355" t="s">
        <v>118</v>
      </c>
      <c r="I225" s="268" t="s">
        <v>1109</v>
      </c>
      <c r="J225" s="257" t="s">
        <v>188</v>
      </c>
      <c r="K225" s="355" t="s">
        <v>23</v>
      </c>
    </row>
    <row r="226" spans="1:15">
      <c r="A226" s="352">
        <v>3889</v>
      </c>
      <c r="B226" s="354">
        <v>41576</v>
      </c>
      <c r="C226" s="257" t="s">
        <v>875</v>
      </c>
      <c r="D226" s="276">
        <v>45</v>
      </c>
      <c r="E226" s="413">
        <f t="shared" si="3"/>
        <v>7.4946288493246511</v>
      </c>
      <c r="F226" s="257" t="s">
        <v>179</v>
      </c>
      <c r="G226" s="91" t="s">
        <v>132</v>
      </c>
      <c r="H226" s="355" t="s">
        <v>118</v>
      </c>
      <c r="I226" s="268" t="s">
        <v>1109</v>
      </c>
      <c r="J226" s="257" t="s">
        <v>188</v>
      </c>
      <c r="K226" s="355" t="s">
        <v>23</v>
      </c>
    </row>
    <row r="227" spans="1:15">
      <c r="A227" s="352">
        <v>3938</v>
      </c>
      <c r="B227" s="354">
        <v>41578</v>
      </c>
      <c r="C227" s="257" t="s">
        <v>977</v>
      </c>
      <c r="D227" s="276">
        <v>10000</v>
      </c>
      <c r="E227" s="413">
        <f t="shared" si="3"/>
        <v>1665.4730776277001</v>
      </c>
      <c r="F227" s="92" t="s">
        <v>511</v>
      </c>
      <c r="G227" s="91" t="s">
        <v>51</v>
      </c>
      <c r="H227" s="355" t="s">
        <v>1071</v>
      </c>
      <c r="I227" s="268" t="s">
        <v>1109</v>
      </c>
      <c r="J227" s="268" t="s">
        <v>175</v>
      </c>
      <c r="K227" s="355" t="s">
        <v>29</v>
      </c>
    </row>
    <row r="228" spans="1:15">
      <c r="A228" s="352">
        <v>3894</v>
      </c>
      <c r="B228" s="354">
        <v>41578</v>
      </c>
      <c r="C228" s="257" t="s">
        <v>981</v>
      </c>
      <c r="D228" s="276">
        <v>7500</v>
      </c>
      <c r="E228" s="413">
        <f t="shared" si="3"/>
        <v>1249.1048082207751</v>
      </c>
      <c r="F228" s="257" t="s">
        <v>509</v>
      </c>
      <c r="G228" s="91" t="s">
        <v>51</v>
      </c>
      <c r="H228" s="355" t="s">
        <v>118</v>
      </c>
      <c r="I228" s="268" t="s">
        <v>1109</v>
      </c>
      <c r="J228" s="257" t="s">
        <v>188</v>
      </c>
      <c r="K228" s="355" t="s">
        <v>24</v>
      </c>
    </row>
    <row r="229" spans="1:15">
      <c r="A229" s="352">
        <v>3893</v>
      </c>
      <c r="B229" s="354">
        <v>41578</v>
      </c>
      <c r="C229" s="257" t="s">
        <v>982</v>
      </c>
      <c r="D229" s="276">
        <v>4200</v>
      </c>
      <c r="E229" s="413">
        <f t="shared" si="3"/>
        <v>699.49869260363414</v>
      </c>
      <c r="F229" s="257" t="s">
        <v>510</v>
      </c>
      <c r="G229" s="91" t="s">
        <v>53</v>
      </c>
      <c r="H229" s="355" t="s">
        <v>1071</v>
      </c>
      <c r="I229" s="268" t="s">
        <v>1109</v>
      </c>
      <c r="J229" s="257" t="s">
        <v>188</v>
      </c>
      <c r="K229" s="356" t="s">
        <v>34</v>
      </c>
    </row>
    <row r="230" spans="1:15">
      <c r="A230" s="352">
        <v>3937</v>
      </c>
      <c r="B230" s="354">
        <v>41578</v>
      </c>
      <c r="C230" s="257" t="s">
        <v>978</v>
      </c>
      <c r="D230" s="276">
        <v>1137.24</v>
      </c>
      <c r="E230" s="413">
        <f t="shared" si="3"/>
        <v>189.40426028013258</v>
      </c>
      <c r="F230" s="257" t="s">
        <v>409</v>
      </c>
      <c r="G230" s="91" t="s">
        <v>52</v>
      </c>
      <c r="H230" s="355" t="s">
        <v>118</v>
      </c>
      <c r="I230" s="268" t="s">
        <v>1109</v>
      </c>
      <c r="J230" s="268" t="s">
        <v>832</v>
      </c>
      <c r="K230" s="355" t="s">
        <v>24</v>
      </c>
    </row>
    <row r="231" spans="1:15">
      <c r="A231" s="352">
        <v>3939</v>
      </c>
      <c r="B231" s="354">
        <v>41578</v>
      </c>
      <c r="C231" s="257" t="s">
        <v>470</v>
      </c>
      <c r="D231" s="276">
        <v>14950</v>
      </c>
      <c r="E231" s="413">
        <f t="shared" si="3"/>
        <v>2489.8822510534119</v>
      </c>
      <c r="F231" s="257" t="s">
        <v>471</v>
      </c>
      <c r="G231" s="268" t="s">
        <v>107</v>
      </c>
      <c r="H231" s="355" t="s">
        <v>1071</v>
      </c>
      <c r="I231" s="268" t="s">
        <v>1109</v>
      </c>
      <c r="J231" s="91" t="s">
        <v>291</v>
      </c>
      <c r="K231" s="356" t="s">
        <v>29</v>
      </c>
    </row>
    <row r="232" spans="1:15">
      <c r="A232" s="260">
        <v>3953</v>
      </c>
      <c r="B232" s="265">
        <v>41584</v>
      </c>
      <c r="C232" s="259" t="s">
        <v>917</v>
      </c>
      <c r="D232" s="262">
        <v>2096.4299999999998</v>
      </c>
      <c r="E232" s="413">
        <f t="shared" ref="E232:E242" si="4">D232/6.0045</f>
        <v>349.14314264301771</v>
      </c>
      <c r="F232" s="259" t="s">
        <v>409</v>
      </c>
      <c r="G232" s="91" t="s">
        <v>52</v>
      </c>
      <c r="H232" s="355" t="s">
        <v>118</v>
      </c>
      <c r="I232" s="268" t="s">
        <v>1109</v>
      </c>
      <c r="J232" s="259" t="s">
        <v>832</v>
      </c>
      <c r="K232" s="355" t="s">
        <v>24</v>
      </c>
      <c r="L232" s="416" t="s">
        <v>402</v>
      </c>
      <c r="M232" s="259" t="s">
        <v>402</v>
      </c>
      <c r="N232" s="260" t="s">
        <v>402</v>
      </c>
      <c r="O232" s="218"/>
    </row>
    <row r="233" spans="1:15">
      <c r="A233" s="260">
        <v>3960</v>
      </c>
      <c r="B233" s="265">
        <v>41586</v>
      </c>
      <c r="C233" s="259" t="s">
        <v>919</v>
      </c>
      <c r="D233" s="262">
        <v>120</v>
      </c>
      <c r="E233" s="413">
        <f t="shared" si="4"/>
        <v>19.985011241568824</v>
      </c>
      <c r="F233" s="259" t="s">
        <v>920</v>
      </c>
      <c r="G233" s="259" t="s">
        <v>107</v>
      </c>
      <c r="H233" s="355" t="s">
        <v>1071</v>
      </c>
      <c r="I233" s="268" t="s">
        <v>1109</v>
      </c>
      <c r="J233" s="91" t="s">
        <v>291</v>
      </c>
      <c r="K233" s="356" t="s">
        <v>29</v>
      </c>
      <c r="L233" s="416" t="s">
        <v>402</v>
      </c>
      <c r="M233" s="259" t="s">
        <v>402</v>
      </c>
      <c r="N233" s="260" t="s">
        <v>402</v>
      </c>
      <c r="O233" s="218"/>
    </row>
    <row r="234" spans="1:15">
      <c r="A234" s="260">
        <v>3959</v>
      </c>
      <c r="B234" s="265">
        <v>41586</v>
      </c>
      <c r="C234" s="259" t="s">
        <v>921</v>
      </c>
      <c r="D234" s="262">
        <v>520</v>
      </c>
      <c r="E234" s="413">
        <f t="shared" si="4"/>
        <v>86.601715380131566</v>
      </c>
      <c r="F234" s="259" t="s">
        <v>920</v>
      </c>
      <c r="G234" s="268" t="s">
        <v>1083</v>
      </c>
      <c r="H234" s="355" t="s">
        <v>1071</v>
      </c>
      <c r="I234" s="268" t="s">
        <v>1109</v>
      </c>
      <c r="J234" s="91" t="s">
        <v>291</v>
      </c>
      <c r="K234" s="356" t="s">
        <v>29</v>
      </c>
      <c r="L234" s="416" t="s">
        <v>402</v>
      </c>
      <c r="M234" s="259" t="s">
        <v>402</v>
      </c>
      <c r="N234" s="260" t="s">
        <v>402</v>
      </c>
      <c r="O234" s="218"/>
    </row>
    <row r="235" spans="1:15">
      <c r="A235" s="260">
        <v>3954</v>
      </c>
      <c r="B235" s="265">
        <v>41587</v>
      </c>
      <c r="C235" s="259" t="s">
        <v>558</v>
      </c>
      <c r="D235" s="262">
        <v>448.97</v>
      </c>
      <c r="E235" s="413">
        <f t="shared" si="4"/>
        <v>74.772254142726297</v>
      </c>
      <c r="F235" s="259" t="s">
        <v>181</v>
      </c>
      <c r="G235" s="91" t="s">
        <v>114</v>
      </c>
      <c r="H235" s="355" t="s">
        <v>118</v>
      </c>
      <c r="I235" s="268" t="s">
        <v>1109</v>
      </c>
      <c r="J235" s="259" t="s">
        <v>832</v>
      </c>
      <c r="K235" s="355" t="s">
        <v>23</v>
      </c>
      <c r="L235" s="416" t="s">
        <v>402</v>
      </c>
      <c r="M235" s="259" t="s">
        <v>402</v>
      </c>
      <c r="N235" s="260" t="s">
        <v>402</v>
      </c>
      <c r="O235" s="218"/>
    </row>
    <row r="236" spans="1:15">
      <c r="A236" s="260">
        <v>3955</v>
      </c>
      <c r="B236" s="265">
        <v>41590</v>
      </c>
      <c r="C236" s="259" t="s">
        <v>923</v>
      </c>
      <c r="D236" s="262">
        <v>480</v>
      </c>
      <c r="E236" s="413">
        <f t="shared" si="4"/>
        <v>79.940044966275295</v>
      </c>
      <c r="F236" s="259" t="s">
        <v>270</v>
      </c>
      <c r="G236" s="91" t="s">
        <v>52</v>
      </c>
      <c r="H236" s="355" t="s">
        <v>118</v>
      </c>
      <c r="I236" s="268" t="s">
        <v>1109</v>
      </c>
      <c r="J236" s="259" t="s">
        <v>832</v>
      </c>
      <c r="K236" s="355" t="s">
        <v>24</v>
      </c>
      <c r="L236" s="416" t="s">
        <v>402</v>
      </c>
      <c r="M236" s="259" t="s">
        <v>402</v>
      </c>
      <c r="N236" s="260" t="s">
        <v>402</v>
      </c>
      <c r="O236" s="218"/>
    </row>
    <row r="237" spans="1:15">
      <c r="A237" s="260">
        <v>3956</v>
      </c>
      <c r="B237" s="265">
        <v>41590</v>
      </c>
      <c r="C237" s="259" t="s">
        <v>922</v>
      </c>
      <c r="D237" s="262">
        <v>480</v>
      </c>
      <c r="E237" s="413">
        <f t="shared" si="4"/>
        <v>79.940044966275295</v>
      </c>
      <c r="F237" s="259" t="s">
        <v>270</v>
      </c>
      <c r="G237" s="91" t="s">
        <v>52</v>
      </c>
      <c r="H237" s="355" t="s">
        <v>1071</v>
      </c>
      <c r="I237" s="268" t="s">
        <v>1109</v>
      </c>
      <c r="J237" s="259" t="s">
        <v>832</v>
      </c>
      <c r="K237" s="356" t="s">
        <v>29</v>
      </c>
      <c r="L237" s="416" t="s">
        <v>402</v>
      </c>
      <c r="M237" s="259" t="s">
        <v>402</v>
      </c>
      <c r="N237" s="260" t="s">
        <v>402</v>
      </c>
      <c r="O237" s="218"/>
    </row>
    <row r="238" spans="1:15">
      <c r="A238" s="260">
        <v>3958</v>
      </c>
      <c r="B238" s="265">
        <v>41591</v>
      </c>
      <c r="C238" s="259" t="s">
        <v>927</v>
      </c>
      <c r="D238" s="262">
        <v>955.68</v>
      </c>
      <c r="E238" s="413">
        <f t="shared" si="4"/>
        <v>159.1606295278541</v>
      </c>
      <c r="F238" s="259" t="s">
        <v>303</v>
      </c>
      <c r="G238" s="91" t="s">
        <v>116</v>
      </c>
      <c r="H238" s="355" t="s">
        <v>118</v>
      </c>
      <c r="I238" s="268" t="s">
        <v>1109</v>
      </c>
      <c r="J238" s="259" t="s">
        <v>832</v>
      </c>
      <c r="K238" s="355" t="s">
        <v>23</v>
      </c>
      <c r="L238" s="416" t="s">
        <v>402</v>
      </c>
      <c r="M238" s="259" t="s">
        <v>402</v>
      </c>
      <c r="N238" s="260" t="s">
        <v>402</v>
      </c>
      <c r="O238" s="218"/>
    </row>
    <row r="239" spans="1:15">
      <c r="A239" s="260">
        <v>3957</v>
      </c>
      <c r="B239" s="265">
        <v>41591</v>
      </c>
      <c r="C239" s="259" t="s">
        <v>952</v>
      </c>
      <c r="D239" s="262">
        <v>173.6</v>
      </c>
      <c r="E239" s="413">
        <f t="shared" si="4"/>
        <v>28.911649596136229</v>
      </c>
      <c r="F239" s="259" t="s">
        <v>302</v>
      </c>
      <c r="G239" s="91" t="s">
        <v>114</v>
      </c>
      <c r="H239" s="355" t="s">
        <v>1071</v>
      </c>
      <c r="I239" s="268" t="s">
        <v>1109</v>
      </c>
      <c r="J239" s="259" t="s">
        <v>832</v>
      </c>
      <c r="K239" s="356" t="s">
        <v>29</v>
      </c>
      <c r="L239" s="416" t="s">
        <v>402</v>
      </c>
      <c r="M239" s="259" t="s">
        <v>402</v>
      </c>
      <c r="N239" s="260" t="s">
        <v>402</v>
      </c>
      <c r="O239" s="218"/>
    </row>
    <row r="240" spans="1:15">
      <c r="A240" s="260">
        <v>3952</v>
      </c>
      <c r="B240" s="265">
        <v>41608</v>
      </c>
      <c r="C240" s="259" t="s">
        <v>972</v>
      </c>
      <c r="D240" s="262">
        <v>7500</v>
      </c>
      <c r="E240" s="413">
        <f t="shared" si="4"/>
        <v>1249.0632025980515</v>
      </c>
      <c r="F240" s="259" t="s">
        <v>509</v>
      </c>
      <c r="G240" s="91" t="s">
        <v>51</v>
      </c>
      <c r="H240" s="355" t="s">
        <v>1071</v>
      </c>
      <c r="I240" s="268" t="s">
        <v>1109</v>
      </c>
      <c r="J240" s="91" t="s">
        <v>291</v>
      </c>
      <c r="K240" s="355" t="s">
        <v>32</v>
      </c>
      <c r="L240" s="416" t="s">
        <v>402</v>
      </c>
      <c r="M240" s="259" t="s">
        <v>402</v>
      </c>
      <c r="N240" s="260" t="s">
        <v>402</v>
      </c>
      <c r="O240" s="218"/>
    </row>
    <row r="241" spans="1:15">
      <c r="A241" s="260">
        <v>3950</v>
      </c>
      <c r="B241" s="265">
        <v>41608</v>
      </c>
      <c r="C241" s="259" t="s">
        <v>974</v>
      </c>
      <c r="D241" s="262">
        <v>10000</v>
      </c>
      <c r="E241" s="413">
        <f t="shared" si="4"/>
        <v>1665.4176034640686</v>
      </c>
      <c r="F241" s="92" t="s">
        <v>511</v>
      </c>
      <c r="G241" s="91" t="s">
        <v>51</v>
      </c>
      <c r="H241" s="355" t="s">
        <v>1071</v>
      </c>
      <c r="I241" s="268" t="s">
        <v>1109</v>
      </c>
      <c r="J241" s="259" t="s">
        <v>175</v>
      </c>
      <c r="K241" s="355" t="s">
        <v>29</v>
      </c>
      <c r="L241" s="416" t="s">
        <v>402</v>
      </c>
      <c r="M241" s="259" t="s">
        <v>402</v>
      </c>
      <c r="N241" s="260" t="s">
        <v>402</v>
      </c>
      <c r="O241" s="218"/>
    </row>
    <row r="242" spans="1:15">
      <c r="A242" s="260">
        <v>3951</v>
      </c>
      <c r="B242" s="265">
        <v>41608</v>
      </c>
      <c r="C242" s="259" t="s">
        <v>973</v>
      </c>
      <c r="D242" s="262">
        <v>4200</v>
      </c>
      <c r="E242" s="413">
        <f t="shared" si="4"/>
        <v>699.47539345490884</v>
      </c>
      <c r="F242" s="259" t="s">
        <v>510</v>
      </c>
      <c r="G242" s="91" t="s">
        <v>53</v>
      </c>
      <c r="H242" s="355" t="s">
        <v>1071</v>
      </c>
      <c r="I242" s="268" t="s">
        <v>1109</v>
      </c>
      <c r="J242" s="91" t="s">
        <v>291</v>
      </c>
      <c r="K242" s="356" t="s">
        <v>34</v>
      </c>
      <c r="L242" s="416" t="s">
        <v>402</v>
      </c>
      <c r="M242" s="259" t="s">
        <v>402</v>
      </c>
      <c r="N242" s="260" t="s">
        <v>402</v>
      </c>
      <c r="O242" s="218"/>
    </row>
    <row r="243" spans="1:15">
      <c r="A243" s="351">
        <v>4014</v>
      </c>
      <c r="B243" s="353">
        <v>41610</v>
      </c>
      <c r="C243" s="264" t="s">
        <v>229</v>
      </c>
      <c r="D243" s="278">
        <v>1137.24</v>
      </c>
      <c r="E243" s="413">
        <f t="shared" ref="E243:E249" si="5">D243/6.0058</f>
        <v>189.35695494355457</v>
      </c>
      <c r="F243" s="264" t="s">
        <v>409</v>
      </c>
      <c r="G243" s="91" t="s">
        <v>52</v>
      </c>
      <c r="H243" s="355" t="s">
        <v>118</v>
      </c>
      <c r="I243" s="268" t="s">
        <v>1109</v>
      </c>
      <c r="J243" s="264" t="s">
        <v>832</v>
      </c>
      <c r="K243" s="355" t="s">
        <v>24</v>
      </c>
      <c r="L243" s="416" t="s">
        <v>402</v>
      </c>
      <c r="M243" s="264" t="s">
        <v>402</v>
      </c>
      <c r="N243" s="351" t="s">
        <v>402</v>
      </c>
    </row>
    <row r="244" spans="1:15">
      <c r="A244" s="351">
        <v>4015</v>
      </c>
      <c r="B244" s="353">
        <v>41612</v>
      </c>
      <c r="C244" s="264" t="s">
        <v>230</v>
      </c>
      <c r="D244" s="278">
        <v>2096.4299999999998</v>
      </c>
      <c r="E244" s="413">
        <f t="shared" si="5"/>
        <v>349.06756801758297</v>
      </c>
      <c r="F244" s="264" t="s">
        <v>409</v>
      </c>
      <c r="G244" s="91" t="s">
        <v>52</v>
      </c>
      <c r="H244" s="355" t="s">
        <v>118</v>
      </c>
      <c r="I244" s="268" t="s">
        <v>1109</v>
      </c>
      <c r="J244" s="264" t="s">
        <v>832</v>
      </c>
      <c r="K244" s="355" t="s">
        <v>24</v>
      </c>
      <c r="L244" s="416" t="s">
        <v>402</v>
      </c>
      <c r="M244" s="264" t="s">
        <v>402</v>
      </c>
      <c r="N244" s="351" t="s">
        <v>402</v>
      </c>
    </row>
    <row r="245" spans="1:15">
      <c r="A245" s="351">
        <v>4022</v>
      </c>
      <c r="B245" s="353">
        <v>41613</v>
      </c>
      <c r="C245" s="264" t="s">
        <v>233</v>
      </c>
      <c r="D245" s="278">
        <v>7790</v>
      </c>
      <c r="E245" s="413">
        <f t="shared" si="5"/>
        <v>1297.079489826501</v>
      </c>
      <c r="F245" s="264" t="s">
        <v>920</v>
      </c>
      <c r="G245" s="268" t="s">
        <v>1083</v>
      </c>
      <c r="H245" s="355" t="s">
        <v>1071</v>
      </c>
      <c r="I245" s="268" t="s">
        <v>1109</v>
      </c>
      <c r="J245" s="91" t="s">
        <v>291</v>
      </c>
      <c r="K245" s="356" t="s">
        <v>29</v>
      </c>
      <c r="L245" s="416" t="s">
        <v>402</v>
      </c>
      <c r="M245" s="264" t="s">
        <v>402</v>
      </c>
      <c r="N245" s="351" t="s">
        <v>402</v>
      </c>
    </row>
    <row r="246" spans="1:15">
      <c r="A246" s="351">
        <v>4018</v>
      </c>
      <c r="B246" s="353">
        <v>41619</v>
      </c>
      <c r="C246" s="264" t="s">
        <v>141</v>
      </c>
      <c r="D246" s="278">
        <v>480</v>
      </c>
      <c r="E246" s="413">
        <f t="shared" si="5"/>
        <v>79.922741350028303</v>
      </c>
      <c r="F246" s="264" t="s">
        <v>270</v>
      </c>
      <c r="G246" s="91" t="s">
        <v>52</v>
      </c>
      <c r="H246" s="355" t="s">
        <v>118</v>
      </c>
      <c r="I246" s="268" t="s">
        <v>1109</v>
      </c>
      <c r="J246" s="264" t="s">
        <v>832</v>
      </c>
      <c r="K246" s="355" t="s">
        <v>24</v>
      </c>
      <c r="L246" s="416" t="s">
        <v>402</v>
      </c>
      <c r="M246" s="264" t="s">
        <v>402</v>
      </c>
      <c r="N246" s="351" t="s">
        <v>402</v>
      </c>
    </row>
    <row r="247" spans="1:15">
      <c r="A247" s="351">
        <v>4017</v>
      </c>
      <c r="B247" s="353">
        <v>41619</v>
      </c>
      <c r="C247" s="264" t="s">
        <v>142</v>
      </c>
      <c r="D247" s="278">
        <v>480</v>
      </c>
      <c r="E247" s="413">
        <f t="shared" si="5"/>
        <v>79.922741350028303</v>
      </c>
      <c r="F247" s="264" t="s">
        <v>270</v>
      </c>
      <c r="G247" s="91" t="s">
        <v>52</v>
      </c>
      <c r="H247" s="355" t="s">
        <v>1071</v>
      </c>
      <c r="I247" s="268" t="s">
        <v>1109</v>
      </c>
      <c r="J247" s="264" t="s">
        <v>832</v>
      </c>
      <c r="K247" s="356" t="s">
        <v>29</v>
      </c>
      <c r="L247" s="416" t="s">
        <v>402</v>
      </c>
      <c r="M247" s="264" t="s">
        <v>402</v>
      </c>
      <c r="N247" s="351" t="s">
        <v>402</v>
      </c>
    </row>
    <row r="248" spans="1:15">
      <c r="A248" s="351">
        <v>4016</v>
      </c>
      <c r="B248" s="353">
        <v>41619</v>
      </c>
      <c r="C248" s="264" t="s">
        <v>143</v>
      </c>
      <c r="D248" s="278">
        <v>362.21</v>
      </c>
      <c r="E248" s="413">
        <f t="shared" si="5"/>
        <v>60.310033634153648</v>
      </c>
      <c r="F248" s="264" t="s">
        <v>181</v>
      </c>
      <c r="G248" s="91" t="s">
        <v>114</v>
      </c>
      <c r="H248" s="355" t="s">
        <v>118</v>
      </c>
      <c r="I248" s="268" t="s">
        <v>1109</v>
      </c>
      <c r="J248" s="264" t="s">
        <v>832</v>
      </c>
      <c r="K248" s="355" t="s">
        <v>23</v>
      </c>
      <c r="L248" s="416" t="s">
        <v>402</v>
      </c>
      <c r="M248" s="264" t="s">
        <v>402</v>
      </c>
      <c r="N248" s="351" t="s">
        <v>402</v>
      </c>
    </row>
    <row r="249" spans="1:15">
      <c r="A249" s="351">
        <v>4019</v>
      </c>
      <c r="B249" s="353">
        <v>41620</v>
      </c>
      <c r="C249" s="264" t="s">
        <v>145</v>
      </c>
      <c r="D249" s="278">
        <v>955.68</v>
      </c>
      <c r="E249" s="413">
        <f t="shared" si="5"/>
        <v>159.12617802790635</v>
      </c>
      <c r="F249" s="264" t="s">
        <v>920</v>
      </c>
      <c r="G249" s="91" t="s">
        <v>116</v>
      </c>
      <c r="H249" s="355" t="s">
        <v>118</v>
      </c>
      <c r="I249" s="268" t="s">
        <v>1109</v>
      </c>
      <c r="J249" s="264" t="s">
        <v>832</v>
      </c>
      <c r="K249" s="355" t="s">
        <v>23</v>
      </c>
      <c r="L249" s="416" t="s">
        <v>402</v>
      </c>
      <c r="M249" s="264" t="s">
        <v>402</v>
      </c>
      <c r="N249" s="351" t="s">
        <v>402</v>
      </c>
    </row>
    <row r="250" spans="1:15" ht="15">
      <c r="A250" s="351">
        <v>4041</v>
      </c>
      <c r="B250" s="353">
        <v>41620</v>
      </c>
      <c r="C250" s="264" t="s">
        <v>144</v>
      </c>
      <c r="D250" s="427"/>
      <c r="E250" s="413">
        <v>12420</v>
      </c>
      <c r="F250" s="264" t="s">
        <v>357</v>
      </c>
      <c r="G250" s="264" t="s">
        <v>113</v>
      </c>
      <c r="H250" s="355" t="s">
        <v>118</v>
      </c>
      <c r="I250" s="268" t="s">
        <v>1109</v>
      </c>
      <c r="J250" s="264" t="s">
        <v>95</v>
      </c>
      <c r="K250" s="356" t="s">
        <v>27</v>
      </c>
      <c r="M250" s="264" t="s">
        <v>402</v>
      </c>
      <c r="N250" s="351" t="s">
        <v>402</v>
      </c>
    </row>
    <row r="251" spans="1:15">
      <c r="A251" s="351">
        <v>4020</v>
      </c>
      <c r="B251" s="353">
        <v>41621</v>
      </c>
      <c r="C251" s="264" t="s">
        <v>952</v>
      </c>
      <c r="D251" s="278">
        <v>173.6</v>
      </c>
      <c r="E251" s="413">
        <f t="shared" ref="E251:E257" si="6">D251/6.0058</f>
        <v>28.905391454926903</v>
      </c>
      <c r="F251" s="264" t="s">
        <v>563</v>
      </c>
      <c r="G251" s="91" t="s">
        <v>114</v>
      </c>
      <c r="H251" s="355" t="s">
        <v>118</v>
      </c>
      <c r="I251" s="268" t="s">
        <v>1109</v>
      </c>
      <c r="J251" s="264" t="s">
        <v>832</v>
      </c>
      <c r="K251" s="355" t="s">
        <v>23</v>
      </c>
      <c r="L251" s="416" t="s">
        <v>402</v>
      </c>
      <c r="M251" s="264" t="s">
        <v>402</v>
      </c>
      <c r="N251" s="351" t="s">
        <v>402</v>
      </c>
    </row>
    <row r="252" spans="1:15">
      <c r="A252" s="351">
        <v>3995</v>
      </c>
      <c r="B252" s="353">
        <v>41623</v>
      </c>
      <c r="C252" s="264" t="s">
        <v>146</v>
      </c>
      <c r="D252" s="278">
        <v>216.8</v>
      </c>
      <c r="E252" s="413">
        <f t="shared" si="6"/>
        <v>36.098438176429454</v>
      </c>
      <c r="F252" s="264" t="s">
        <v>147</v>
      </c>
      <c r="G252" s="91" t="s">
        <v>114</v>
      </c>
      <c r="H252" s="355" t="s">
        <v>1071</v>
      </c>
      <c r="I252" s="268" t="s">
        <v>1109</v>
      </c>
      <c r="J252" s="91" t="s">
        <v>291</v>
      </c>
      <c r="K252" s="356" t="s">
        <v>29</v>
      </c>
      <c r="L252" s="416" t="s">
        <v>402</v>
      </c>
      <c r="M252" s="264" t="s">
        <v>402</v>
      </c>
      <c r="N252" s="351" t="s">
        <v>402</v>
      </c>
    </row>
    <row r="253" spans="1:15">
      <c r="A253" s="351">
        <v>4021</v>
      </c>
      <c r="B253" s="353">
        <v>41627</v>
      </c>
      <c r="C253" s="264" t="s">
        <v>150</v>
      </c>
      <c r="D253" s="278">
        <v>20</v>
      </c>
      <c r="E253" s="413">
        <f t="shared" si="6"/>
        <v>3.330114222917846</v>
      </c>
      <c r="F253" s="264" t="s">
        <v>151</v>
      </c>
      <c r="G253" s="91" t="s">
        <v>114</v>
      </c>
      <c r="H253" s="355" t="s">
        <v>1071</v>
      </c>
      <c r="I253" s="268" t="s">
        <v>1109</v>
      </c>
      <c r="J253" s="264" t="s">
        <v>832</v>
      </c>
      <c r="K253" s="356" t="s">
        <v>29</v>
      </c>
      <c r="L253" s="416" t="s">
        <v>402</v>
      </c>
      <c r="M253" s="264" t="s">
        <v>402</v>
      </c>
      <c r="N253" s="351" t="s">
        <v>402</v>
      </c>
    </row>
    <row r="254" spans="1:15">
      <c r="A254" s="351">
        <v>4004</v>
      </c>
      <c r="B254" s="353">
        <v>41633</v>
      </c>
      <c r="C254" s="264" t="s">
        <v>163</v>
      </c>
      <c r="D254" s="278">
        <v>298</v>
      </c>
      <c r="E254" s="413">
        <f t="shared" si="6"/>
        <v>49.61870192147591</v>
      </c>
      <c r="F254" s="264" t="s">
        <v>638</v>
      </c>
      <c r="G254" s="91" t="s">
        <v>114</v>
      </c>
      <c r="H254" s="355" t="s">
        <v>1071</v>
      </c>
      <c r="I254" s="268" t="s">
        <v>1109</v>
      </c>
      <c r="J254" s="91" t="s">
        <v>291</v>
      </c>
      <c r="K254" s="356" t="s">
        <v>29</v>
      </c>
      <c r="L254" s="416" t="s">
        <v>402</v>
      </c>
      <c r="M254" s="264" t="s">
        <v>402</v>
      </c>
      <c r="N254" s="351" t="s">
        <v>402</v>
      </c>
    </row>
    <row r="255" spans="1:15">
      <c r="A255" s="351">
        <v>4009</v>
      </c>
      <c r="B255" s="353">
        <v>41639</v>
      </c>
      <c r="C255" s="264" t="s">
        <v>173</v>
      </c>
      <c r="D255" s="278">
        <v>7500</v>
      </c>
      <c r="E255" s="413">
        <f t="shared" si="6"/>
        <v>1248.7928335941924</v>
      </c>
      <c r="F255" s="264" t="s">
        <v>509</v>
      </c>
      <c r="G255" s="91" t="s">
        <v>51</v>
      </c>
      <c r="H255" s="355" t="s">
        <v>118</v>
      </c>
      <c r="I255" s="268" t="s">
        <v>1109</v>
      </c>
      <c r="J255" s="91" t="s">
        <v>291</v>
      </c>
      <c r="K255" s="355" t="s">
        <v>24</v>
      </c>
      <c r="L255" s="416" t="s">
        <v>402</v>
      </c>
      <c r="M255" s="264" t="s">
        <v>402</v>
      </c>
      <c r="N255" s="351" t="s">
        <v>402</v>
      </c>
    </row>
    <row r="256" spans="1:15">
      <c r="A256" s="351">
        <v>4008</v>
      </c>
      <c r="B256" s="353">
        <v>41639</v>
      </c>
      <c r="C256" s="264" t="s">
        <v>174</v>
      </c>
      <c r="D256" s="278">
        <v>10000</v>
      </c>
      <c r="E256" s="413">
        <f t="shared" si="6"/>
        <v>1665.0571114589231</v>
      </c>
      <c r="F256" s="92" t="s">
        <v>511</v>
      </c>
      <c r="G256" s="91" t="s">
        <v>51</v>
      </c>
      <c r="H256" s="355" t="s">
        <v>1071</v>
      </c>
      <c r="I256" s="268" t="s">
        <v>1109</v>
      </c>
      <c r="J256" s="264" t="s">
        <v>175</v>
      </c>
      <c r="K256" s="355" t="s">
        <v>29</v>
      </c>
      <c r="L256" s="416" t="s">
        <v>402</v>
      </c>
      <c r="M256" s="264" t="s">
        <v>402</v>
      </c>
      <c r="N256" s="351" t="s">
        <v>402</v>
      </c>
    </row>
    <row r="257" spans="1:15">
      <c r="A257" s="351">
        <v>4010</v>
      </c>
      <c r="B257" s="353">
        <v>41639</v>
      </c>
      <c r="C257" s="264" t="s">
        <v>172</v>
      </c>
      <c r="D257" s="278">
        <v>4200</v>
      </c>
      <c r="E257" s="413">
        <f t="shared" si="6"/>
        <v>699.32398681274765</v>
      </c>
      <c r="F257" s="264" t="s">
        <v>510</v>
      </c>
      <c r="G257" s="91" t="s">
        <v>53</v>
      </c>
      <c r="H257" s="355" t="s">
        <v>1071</v>
      </c>
      <c r="I257" s="268" t="s">
        <v>1109</v>
      </c>
      <c r="J257" s="91" t="s">
        <v>291</v>
      </c>
      <c r="K257" s="356" t="s">
        <v>34</v>
      </c>
      <c r="L257" s="416" t="s">
        <v>402</v>
      </c>
      <c r="M257" s="264" t="s">
        <v>402</v>
      </c>
      <c r="N257" s="351" t="s">
        <v>402</v>
      </c>
    </row>
    <row r="258" spans="1:15">
      <c r="A258" s="220">
        <v>3482</v>
      </c>
      <c r="B258" s="104">
        <v>41275</v>
      </c>
      <c r="C258" s="91" t="s">
        <v>649</v>
      </c>
      <c r="D258" s="91"/>
      <c r="E258" s="411">
        <v>200</v>
      </c>
      <c r="F258" s="91" t="s">
        <v>185</v>
      </c>
      <c r="G258" s="91" t="s">
        <v>113</v>
      </c>
      <c r="H258" s="408" t="s">
        <v>123</v>
      </c>
      <c r="I258" s="91" t="s">
        <v>1110</v>
      </c>
      <c r="J258" s="91" t="s">
        <v>102</v>
      </c>
      <c r="K258" s="123"/>
      <c r="L258" s="349"/>
      <c r="M258" s="123"/>
      <c r="N258" s="123"/>
      <c r="O258" s="123"/>
    </row>
    <row r="259" spans="1:15">
      <c r="A259" s="220">
        <v>3382</v>
      </c>
      <c r="B259" s="104">
        <v>41277</v>
      </c>
      <c r="C259" s="91" t="s">
        <v>22</v>
      </c>
      <c r="D259" s="91"/>
      <c r="E259" s="411">
        <v>1250</v>
      </c>
      <c r="F259" s="91" t="s">
        <v>412</v>
      </c>
      <c r="G259" s="91" t="s">
        <v>109</v>
      </c>
      <c r="H259" s="355" t="s">
        <v>1072</v>
      </c>
      <c r="I259" s="91" t="s">
        <v>1110</v>
      </c>
      <c r="J259" s="91" t="s">
        <v>102</v>
      </c>
      <c r="K259" s="123"/>
      <c r="L259" s="349"/>
      <c r="M259" s="123"/>
      <c r="N259" s="123"/>
      <c r="O259" s="123"/>
    </row>
    <row r="260" spans="1:15">
      <c r="A260" s="220">
        <v>3384</v>
      </c>
      <c r="B260" s="104">
        <v>41277</v>
      </c>
      <c r="C260" s="91" t="s">
        <v>218</v>
      </c>
      <c r="D260" s="91"/>
      <c r="E260" s="411">
        <v>1250</v>
      </c>
      <c r="F260" s="91" t="s">
        <v>219</v>
      </c>
      <c r="G260" s="91" t="s">
        <v>109</v>
      </c>
      <c r="H260" s="355" t="s">
        <v>1072</v>
      </c>
      <c r="I260" s="91" t="s">
        <v>1110</v>
      </c>
      <c r="J260" s="91" t="s">
        <v>102</v>
      </c>
      <c r="K260" s="123"/>
      <c r="L260" s="349"/>
      <c r="M260" s="123"/>
      <c r="N260" s="123"/>
      <c r="O260" s="123"/>
    </row>
    <row r="261" spans="1:15">
      <c r="A261" s="220">
        <v>3383</v>
      </c>
      <c r="B261" s="104">
        <v>41277</v>
      </c>
      <c r="C261" s="91" t="s">
        <v>216</v>
      </c>
      <c r="D261" s="91"/>
      <c r="E261" s="411">
        <v>1250</v>
      </c>
      <c r="F261" s="91" t="s">
        <v>217</v>
      </c>
      <c r="G261" s="91" t="s">
        <v>109</v>
      </c>
      <c r="H261" s="355" t="s">
        <v>1072</v>
      </c>
      <c r="I261" s="91" t="s">
        <v>1110</v>
      </c>
      <c r="J261" s="91" t="s">
        <v>102</v>
      </c>
      <c r="K261" s="123"/>
      <c r="L261" s="349"/>
      <c r="M261" s="123"/>
      <c r="N261" s="123"/>
      <c r="O261" s="123"/>
    </row>
    <row r="262" spans="1:15">
      <c r="A262" s="220">
        <v>3361</v>
      </c>
      <c r="B262" s="104">
        <v>41280</v>
      </c>
      <c r="C262" s="91" t="s">
        <v>319</v>
      </c>
      <c r="D262" s="105">
        <v>2400</v>
      </c>
      <c r="E262" s="411">
        <f>D262/'12 - Equity Statement'!$I$10</f>
        <v>386.1625100563154</v>
      </c>
      <c r="F262" s="91" t="s">
        <v>320</v>
      </c>
      <c r="G262" s="91" t="s">
        <v>111</v>
      </c>
      <c r="H262" s="355" t="s">
        <v>118</v>
      </c>
      <c r="I262" s="91" t="s">
        <v>1110</v>
      </c>
      <c r="J262" s="91" t="s">
        <v>101</v>
      </c>
      <c r="K262" s="123"/>
      <c r="L262" s="349"/>
      <c r="M262" s="123"/>
      <c r="N262" s="123"/>
      <c r="O262" s="123"/>
    </row>
    <row r="263" spans="1:15">
      <c r="A263" s="220">
        <v>3379</v>
      </c>
      <c r="B263" s="104">
        <v>41281</v>
      </c>
      <c r="C263" s="91" t="s">
        <v>335</v>
      </c>
      <c r="D263" s="105">
        <v>1265</v>
      </c>
      <c r="E263" s="411">
        <f>D263/'12 - Equity Statement'!$I$10</f>
        <v>203.53982300884957</v>
      </c>
      <c r="F263" s="91" t="s">
        <v>336</v>
      </c>
      <c r="G263" s="91" t="s">
        <v>109</v>
      </c>
      <c r="H263" s="355" t="s">
        <v>120</v>
      </c>
      <c r="I263" s="91" t="s">
        <v>1110</v>
      </c>
      <c r="J263" s="91" t="s">
        <v>101</v>
      </c>
      <c r="K263" s="123"/>
      <c r="L263" s="349"/>
      <c r="M263" s="123"/>
      <c r="N263" s="123"/>
      <c r="O263" s="123"/>
    </row>
    <row r="264" spans="1:15">
      <c r="A264" s="220">
        <v>3396</v>
      </c>
      <c r="B264" s="104">
        <v>41287</v>
      </c>
      <c r="C264" s="91" t="s">
        <v>550</v>
      </c>
      <c r="D264" s="91"/>
      <c r="E264" s="411">
        <v>10</v>
      </c>
      <c r="F264" s="91" t="s">
        <v>551</v>
      </c>
      <c r="G264" s="91" t="s">
        <v>132</v>
      </c>
      <c r="H264" s="355" t="s">
        <v>1071</v>
      </c>
      <c r="I264" s="91" t="s">
        <v>1110</v>
      </c>
      <c r="J264" s="91" t="s">
        <v>102</v>
      </c>
      <c r="K264" s="123"/>
      <c r="L264" s="349"/>
      <c r="M264" s="123"/>
      <c r="N264" s="123"/>
      <c r="O264" s="123"/>
    </row>
    <row r="265" spans="1:15">
      <c r="A265" s="220">
        <v>3397</v>
      </c>
      <c r="B265" s="104">
        <v>41287</v>
      </c>
      <c r="C265" s="91" t="s">
        <v>550</v>
      </c>
      <c r="D265" s="91"/>
      <c r="E265" s="411">
        <v>10</v>
      </c>
      <c r="F265" s="91" t="s">
        <v>551</v>
      </c>
      <c r="G265" s="91" t="s">
        <v>132</v>
      </c>
      <c r="H265" s="355" t="s">
        <v>1071</v>
      </c>
      <c r="I265" s="91" t="s">
        <v>1110</v>
      </c>
      <c r="J265" s="91" t="s">
        <v>102</v>
      </c>
      <c r="K265" s="123"/>
      <c r="L265" s="349"/>
      <c r="M265" s="123"/>
      <c r="N265" s="123"/>
      <c r="O265" s="123"/>
    </row>
    <row r="266" spans="1:15">
      <c r="A266" s="220">
        <v>3398</v>
      </c>
      <c r="B266" s="104">
        <v>41288</v>
      </c>
      <c r="C266" s="91" t="s">
        <v>660</v>
      </c>
      <c r="D266" s="91"/>
      <c r="E266" s="411">
        <v>108.18</v>
      </c>
      <c r="F266" s="91" t="s">
        <v>661</v>
      </c>
      <c r="G266" s="268" t="s">
        <v>106</v>
      </c>
      <c r="H266" s="355" t="s">
        <v>1071</v>
      </c>
      <c r="I266" s="91" t="s">
        <v>1110</v>
      </c>
      <c r="J266" s="91" t="s">
        <v>102</v>
      </c>
      <c r="K266" s="123"/>
      <c r="L266" s="349"/>
      <c r="M266" s="123"/>
      <c r="N266" s="123"/>
      <c r="O266" s="123"/>
    </row>
    <row r="267" spans="1:15">
      <c r="A267" s="220">
        <v>3357</v>
      </c>
      <c r="B267" s="104">
        <v>41290</v>
      </c>
      <c r="C267" s="91" t="s">
        <v>663</v>
      </c>
      <c r="D267" s="105">
        <v>16</v>
      </c>
      <c r="E267" s="411">
        <f>D267/'12 - Equity Statement'!$I$10</f>
        <v>2.5744167337087691</v>
      </c>
      <c r="F267" s="91" t="s">
        <v>510</v>
      </c>
      <c r="G267" s="91" t="s">
        <v>132</v>
      </c>
      <c r="H267" s="408" t="s">
        <v>123</v>
      </c>
      <c r="I267" s="91" t="s">
        <v>1110</v>
      </c>
      <c r="J267" s="91" t="s">
        <v>188</v>
      </c>
      <c r="K267" s="123"/>
      <c r="L267" s="349"/>
      <c r="M267" s="123"/>
      <c r="N267" s="123"/>
      <c r="O267" s="123"/>
    </row>
    <row r="268" spans="1:15">
      <c r="A268" s="220">
        <v>3483</v>
      </c>
      <c r="B268" s="104">
        <v>41291</v>
      </c>
      <c r="C268" s="91" t="s">
        <v>654</v>
      </c>
      <c r="D268" s="105">
        <v>12</v>
      </c>
      <c r="E268" s="411">
        <f>D268/'12 - Equity Statement'!$I$10</f>
        <v>1.9308125502815769</v>
      </c>
      <c r="F268" s="91" t="s">
        <v>655</v>
      </c>
      <c r="G268" s="91" t="s">
        <v>114</v>
      </c>
      <c r="H268" s="408" t="s">
        <v>123</v>
      </c>
      <c r="I268" s="91" t="s">
        <v>1110</v>
      </c>
      <c r="J268" s="91" t="s">
        <v>101</v>
      </c>
      <c r="K268" s="123"/>
      <c r="L268" s="349"/>
      <c r="M268" s="123"/>
      <c r="N268" s="123"/>
      <c r="O268" s="123"/>
    </row>
    <row r="269" spans="1:15">
      <c r="A269" s="220">
        <v>3399</v>
      </c>
      <c r="B269" s="104">
        <v>41291</v>
      </c>
      <c r="C269" s="91" t="s">
        <v>652</v>
      </c>
      <c r="D269" s="91"/>
      <c r="E269" s="411">
        <v>23.5</v>
      </c>
      <c r="F269" s="91" t="s">
        <v>653</v>
      </c>
      <c r="G269" s="91" t="s">
        <v>111</v>
      </c>
      <c r="H269" s="355" t="s">
        <v>118</v>
      </c>
      <c r="I269" s="91" t="s">
        <v>1110</v>
      </c>
      <c r="J269" s="91" t="s">
        <v>102</v>
      </c>
      <c r="K269" s="123"/>
      <c r="L269" s="349"/>
      <c r="M269" s="123"/>
      <c r="N269" s="123"/>
      <c r="O269" s="123"/>
    </row>
    <row r="270" spans="1:15">
      <c r="A270" s="220">
        <v>3372</v>
      </c>
      <c r="B270" s="104">
        <v>41291</v>
      </c>
      <c r="C270" s="91" t="s">
        <v>665</v>
      </c>
      <c r="D270" s="105">
        <v>2220</v>
      </c>
      <c r="E270" s="411">
        <f>D270/'12 - Equity Statement'!$I$10</f>
        <v>357.20032180209171</v>
      </c>
      <c r="F270" s="91" t="s">
        <v>183</v>
      </c>
      <c r="G270" s="91" t="s">
        <v>111</v>
      </c>
      <c r="H270" s="355" t="s">
        <v>118</v>
      </c>
      <c r="I270" s="91" t="s">
        <v>1110</v>
      </c>
      <c r="J270" s="91" t="s">
        <v>101</v>
      </c>
      <c r="K270" s="123"/>
      <c r="L270" s="349"/>
      <c r="M270" s="123"/>
      <c r="N270" s="123"/>
      <c r="O270" s="123"/>
    </row>
    <row r="271" spans="1:15">
      <c r="A271" s="220">
        <v>3373</v>
      </c>
      <c r="B271" s="104">
        <v>41291</v>
      </c>
      <c r="C271" s="91" t="s">
        <v>666</v>
      </c>
      <c r="D271" s="105">
        <v>2340</v>
      </c>
      <c r="E271" s="411">
        <f>D271/'12 - Equity Statement'!$I$10</f>
        <v>376.50844730490746</v>
      </c>
      <c r="F271" s="91" t="s">
        <v>182</v>
      </c>
      <c r="G271" s="91" t="s">
        <v>111</v>
      </c>
      <c r="H271" s="355" t="s">
        <v>118</v>
      </c>
      <c r="I271" s="91" t="s">
        <v>1110</v>
      </c>
      <c r="J271" s="91" t="s">
        <v>101</v>
      </c>
      <c r="K271" s="123"/>
      <c r="L271" s="349"/>
      <c r="M271" s="123"/>
      <c r="N271" s="123"/>
      <c r="O271" s="123"/>
    </row>
    <row r="272" spans="1:15">
      <c r="A272" s="220">
        <v>3358</v>
      </c>
      <c r="B272" s="104">
        <v>41291</v>
      </c>
      <c r="C272" s="91" t="s">
        <v>664</v>
      </c>
      <c r="D272" s="105">
        <v>46</v>
      </c>
      <c r="E272" s="411">
        <f>D272/'12 - Equity Statement'!$I$10</f>
        <v>7.4014481094127111</v>
      </c>
      <c r="F272" s="91" t="s">
        <v>510</v>
      </c>
      <c r="G272" s="91" t="s">
        <v>132</v>
      </c>
      <c r="H272" s="408" t="s">
        <v>123</v>
      </c>
      <c r="I272" s="91" t="s">
        <v>1110</v>
      </c>
      <c r="J272" s="91" t="s">
        <v>188</v>
      </c>
      <c r="K272" s="123"/>
      <c r="L272" s="349"/>
      <c r="M272" s="123"/>
      <c r="N272" s="123"/>
      <c r="O272" s="123"/>
    </row>
    <row r="273" spans="1:15">
      <c r="A273" s="220">
        <v>3425</v>
      </c>
      <c r="B273" s="104">
        <v>41293</v>
      </c>
      <c r="C273" s="91" t="s">
        <v>561</v>
      </c>
      <c r="D273" s="105">
        <v>95</v>
      </c>
      <c r="E273" s="411">
        <f>D273/'12 - Equity Statement'!$I$10</f>
        <v>15.285599356395817</v>
      </c>
      <c r="F273" s="91" t="s">
        <v>403</v>
      </c>
      <c r="G273" s="268" t="s">
        <v>106</v>
      </c>
      <c r="H273" s="355" t="s">
        <v>1071</v>
      </c>
      <c r="I273" s="91" t="s">
        <v>1110</v>
      </c>
      <c r="J273" s="91" t="s">
        <v>188</v>
      </c>
      <c r="K273" s="123"/>
      <c r="L273" s="349"/>
      <c r="M273" s="123"/>
      <c r="N273" s="123"/>
      <c r="O273" s="123"/>
    </row>
    <row r="274" spans="1:15">
      <c r="A274" s="220">
        <v>3402</v>
      </c>
      <c r="B274" s="104">
        <v>41295</v>
      </c>
      <c r="C274" s="91" t="s">
        <v>460</v>
      </c>
      <c r="D274" s="91"/>
      <c r="E274" s="411">
        <v>40.049999999999997</v>
      </c>
      <c r="F274" s="91" t="s">
        <v>461</v>
      </c>
      <c r="G274" s="91" t="s">
        <v>132</v>
      </c>
      <c r="H274" s="355" t="s">
        <v>1071</v>
      </c>
      <c r="I274" s="91" t="s">
        <v>1110</v>
      </c>
      <c r="J274" s="91" t="s">
        <v>102</v>
      </c>
      <c r="K274" s="123"/>
      <c r="L274" s="349"/>
      <c r="M274" s="123"/>
      <c r="N274" s="123"/>
      <c r="O274" s="123"/>
    </row>
    <row r="275" spans="1:15">
      <c r="A275" s="220">
        <v>3401</v>
      </c>
      <c r="B275" s="104">
        <v>41295</v>
      </c>
      <c r="C275" s="91" t="s">
        <v>458</v>
      </c>
      <c r="D275" s="91"/>
      <c r="E275" s="411">
        <v>57.88</v>
      </c>
      <c r="F275" s="91" t="s">
        <v>459</v>
      </c>
      <c r="G275" s="91" t="s">
        <v>132</v>
      </c>
      <c r="H275" s="355" t="s">
        <v>1071</v>
      </c>
      <c r="I275" s="91" t="s">
        <v>1110</v>
      </c>
      <c r="J275" s="91" t="s">
        <v>102</v>
      </c>
      <c r="K275" s="123"/>
      <c r="L275" s="349"/>
      <c r="M275" s="123"/>
      <c r="N275" s="123"/>
      <c r="O275" s="123"/>
    </row>
    <row r="276" spans="1:15">
      <c r="A276" s="220">
        <v>3400</v>
      </c>
      <c r="B276" s="104">
        <v>41295</v>
      </c>
      <c r="C276" s="91" t="s">
        <v>456</v>
      </c>
      <c r="D276" s="91"/>
      <c r="E276" s="411">
        <v>11.75</v>
      </c>
      <c r="F276" s="91" t="s">
        <v>457</v>
      </c>
      <c r="G276" s="91" t="s">
        <v>132</v>
      </c>
      <c r="H276" s="355" t="s">
        <v>1071</v>
      </c>
      <c r="I276" s="91" t="s">
        <v>1110</v>
      </c>
      <c r="J276" s="91" t="s">
        <v>102</v>
      </c>
      <c r="K276" s="123"/>
      <c r="L276" s="349"/>
      <c r="M276" s="123"/>
      <c r="N276" s="123"/>
      <c r="O276" s="123"/>
    </row>
    <row r="277" spans="1:15">
      <c r="A277" s="220">
        <v>3377</v>
      </c>
      <c r="B277" s="104">
        <v>41295</v>
      </c>
      <c r="C277" s="91" t="s">
        <v>567</v>
      </c>
      <c r="D277" s="105">
        <v>1892</v>
      </c>
      <c r="E277" s="411">
        <f>D277/'12 - Equity Statement'!$I$10</f>
        <v>304.42477876106193</v>
      </c>
      <c r="F277" s="91" t="s">
        <v>568</v>
      </c>
      <c r="G277" s="91" t="s">
        <v>132</v>
      </c>
      <c r="H277" s="355" t="s">
        <v>118</v>
      </c>
      <c r="I277" s="91" t="s">
        <v>1110</v>
      </c>
      <c r="J277" s="91" t="s">
        <v>101</v>
      </c>
      <c r="K277" s="123"/>
      <c r="L277" s="349"/>
      <c r="M277" s="123"/>
      <c r="N277" s="123"/>
      <c r="O277" s="123"/>
    </row>
    <row r="278" spans="1:15">
      <c r="A278" s="220">
        <v>3406</v>
      </c>
      <c r="B278" s="104">
        <v>41296</v>
      </c>
      <c r="C278" s="91" t="s">
        <v>382</v>
      </c>
      <c r="D278" s="91"/>
      <c r="E278" s="411">
        <v>4</v>
      </c>
      <c r="F278" s="91" t="s">
        <v>459</v>
      </c>
      <c r="G278" s="91" t="s">
        <v>132</v>
      </c>
      <c r="H278" s="355" t="s">
        <v>1071</v>
      </c>
      <c r="I278" s="91" t="s">
        <v>1110</v>
      </c>
      <c r="J278" s="91" t="s">
        <v>102</v>
      </c>
      <c r="K278" s="123"/>
      <c r="L278" s="349"/>
      <c r="M278" s="123"/>
      <c r="N278" s="123"/>
      <c r="O278" s="123"/>
    </row>
    <row r="279" spans="1:15">
      <c r="A279" s="220">
        <v>3403</v>
      </c>
      <c r="B279" s="104">
        <v>41296</v>
      </c>
      <c r="C279" s="91" t="s">
        <v>265</v>
      </c>
      <c r="D279" s="91"/>
      <c r="E279" s="411">
        <v>26.4</v>
      </c>
      <c r="F279" s="91" t="s">
        <v>266</v>
      </c>
      <c r="G279" s="91" t="s">
        <v>132</v>
      </c>
      <c r="H279" s="355" t="s">
        <v>1071</v>
      </c>
      <c r="I279" s="91" t="s">
        <v>1110</v>
      </c>
      <c r="J279" s="91" t="s">
        <v>102</v>
      </c>
      <c r="K279" s="123"/>
      <c r="L279" s="349"/>
      <c r="M279" s="123"/>
      <c r="N279" s="123"/>
      <c r="O279" s="123"/>
    </row>
    <row r="280" spans="1:15">
      <c r="A280" s="220">
        <v>3405</v>
      </c>
      <c r="B280" s="104">
        <v>41296</v>
      </c>
      <c r="C280" s="91" t="s">
        <v>380</v>
      </c>
      <c r="D280" s="91"/>
      <c r="E280" s="411">
        <v>7</v>
      </c>
      <c r="F280" s="91" t="s">
        <v>381</v>
      </c>
      <c r="G280" s="91" t="s">
        <v>132</v>
      </c>
      <c r="H280" s="355" t="s">
        <v>1071</v>
      </c>
      <c r="I280" s="91" t="s">
        <v>1110</v>
      </c>
      <c r="J280" s="91" t="s">
        <v>102</v>
      </c>
      <c r="K280" s="123"/>
      <c r="L280" s="349"/>
      <c r="M280" s="123"/>
      <c r="N280" s="123"/>
      <c r="O280" s="123"/>
    </row>
    <row r="281" spans="1:15">
      <c r="A281" s="220">
        <v>3404</v>
      </c>
      <c r="B281" s="104">
        <v>41296</v>
      </c>
      <c r="C281" s="91" t="s">
        <v>267</v>
      </c>
      <c r="D281" s="91"/>
      <c r="E281" s="411">
        <v>8.25</v>
      </c>
      <c r="F281" s="91" t="s">
        <v>268</v>
      </c>
      <c r="G281" s="91" t="s">
        <v>106</v>
      </c>
      <c r="H281" s="355" t="s">
        <v>1071</v>
      </c>
      <c r="I281" s="91" t="s">
        <v>1110</v>
      </c>
      <c r="J281" s="91" t="s">
        <v>102</v>
      </c>
      <c r="K281" s="123"/>
      <c r="L281" s="349"/>
      <c r="M281" s="123"/>
      <c r="N281" s="123"/>
      <c r="O281" s="123"/>
    </row>
    <row r="282" spans="1:15">
      <c r="A282" s="220">
        <v>3408</v>
      </c>
      <c r="B282" s="104">
        <v>41297</v>
      </c>
      <c r="C282" s="91" t="s">
        <v>366</v>
      </c>
      <c r="D282" s="91"/>
      <c r="E282" s="411">
        <v>71</v>
      </c>
      <c r="F282" s="91" t="s">
        <v>367</v>
      </c>
      <c r="G282" s="91" t="s">
        <v>132</v>
      </c>
      <c r="H282" s="355" t="s">
        <v>1071</v>
      </c>
      <c r="I282" s="91" t="s">
        <v>1110</v>
      </c>
      <c r="J282" s="91" t="s">
        <v>102</v>
      </c>
      <c r="K282" s="123"/>
      <c r="L282" s="349"/>
      <c r="M282" s="123"/>
      <c r="N282" s="123"/>
      <c r="O282" s="123"/>
    </row>
    <row r="283" spans="1:15">
      <c r="A283" s="220">
        <v>3409</v>
      </c>
      <c r="B283" s="104">
        <v>41297</v>
      </c>
      <c r="C283" s="91" t="s">
        <v>387</v>
      </c>
      <c r="D283" s="91"/>
      <c r="E283" s="411">
        <v>6.99</v>
      </c>
      <c r="F283" s="91" t="s">
        <v>459</v>
      </c>
      <c r="G283" s="91" t="s">
        <v>132</v>
      </c>
      <c r="H283" s="355" t="s">
        <v>1071</v>
      </c>
      <c r="I283" s="91" t="s">
        <v>1110</v>
      </c>
      <c r="J283" s="91" t="s">
        <v>102</v>
      </c>
      <c r="K283" s="123"/>
      <c r="L283" s="349"/>
      <c r="M283" s="123"/>
      <c r="N283" s="123"/>
      <c r="O283" s="123"/>
    </row>
    <row r="284" spans="1:15">
      <c r="A284" s="220">
        <v>3410</v>
      </c>
      <c r="B284" s="104">
        <v>41297</v>
      </c>
      <c r="C284" s="91" t="s">
        <v>486</v>
      </c>
      <c r="D284" s="91"/>
      <c r="E284" s="411">
        <v>12</v>
      </c>
      <c r="F284" s="91" t="s">
        <v>381</v>
      </c>
      <c r="G284" s="91" t="s">
        <v>132</v>
      </c>
      <c r="H284" s="355" t="s">
        <v>1071</v>
      </c>
      <c r="I284" s="91" t="s">
        <v>1110</v>
      </c>
      <c r="J284" s="91" t="s">
        <v>102</v>
      </c>
      <c r="K284" s="123"/>
      <c r="L284" s="349"/>
      <c r="M284" s="123"/>
      <c r="N284" s="123"/>
      <c r="O284" s="123"/>
    </row>
    <row r="285" spans="1:15">
      <c r="A285" s="220">
        <v>3411</v>
      </c>
      <c r="B285" s="104">
        <v>41297</v>
      </c>
      <c r="C285" s="91" t="s">
        <v>586</v>
      </c>
      <c r="D285" s="91"/>
      <c r="E285" s="411">
        <v>25</v>
      </c>
      <c r="F285" s="91" t="s">
        <v>381</v>
      </c>
      <c r="G285" s="91" t="s">
        <v>132</v>
      </c>
      <c r="H285" s="355" t="s">
        <v>1071</v>
      </c>
      <c r="I285" s="91" t="s">
        <v>1110</v>
      </c>
      <c r="J285" s="91" t="s">
        <v>102</v>
      </c>
      <c r="K285" s="123"/>
      <c r="L285" s="349"/>
      <c r="M285" s="123"/>
      <c r="N285" s="123"/>
      <c r="O285" s="123"/>
    </row>
    <row r="286" spans="1:15">
      <c r="A286" s="220">
        <v>3407</v>
      </c>
      <c r="B286" s="104">
        <v>41297</v>
      </c>
      <c r="C286" s="91" t="s">
        <v>365</v>
      </c>
      <c r="D286" s="91"/>
      <c r="E286" s="411">
        <v>8.1300000000000008</v>
      </c>
      <c r="F286" s="91" t="s">
        <v>381</v>
      </c>
      <c r="G286" s="91" t="s">
        <v>132</v>
      </c>
      <c r="H286" s="355" t="s">
        <v>1071</v>
      </c>
      <c r="I286" s="91" t="s">
        <v>1110</v>
      </c>
      <c r="J286" s="91" t="s">
        <v>102</v>
      </c>
      <c r="K286" s="123"/>
      <c r="L286" s="349"/>
      <c r="M286" s="123"/>
      <c r="N286" s="123"/>
      <c r="O286" s="123"/>
    </row>
    <row r="287" spans="1:15">
      <c r="A287" s="220">
        <v>3412</v>
      </c>
      <c r="B287" s="104">
        <v>41299</v>
      </c>
      <c r="C287" s="91" t="s">
        <v>588</v>
      </c>
      <c r="D287" s="91"/>
      <c r="E287" s="411">
        <v>6.75</v>
      </c>
      <c r="F287" s="91" t="s">
        <v>589</v>
      </c>
      <c r="G287" s="91" t="s">
        <v>132</v>
      </c>
      <c r="H287" s="355" t="s">
        <v>1071</v>
      </c>
      <c r="I287" s="91" t="s">
        <v>1110</v>
      </c>
      <c r="J287" s="91" t="s">
        <v>102</v>
      </c>
      <c r="K287" s="123"/>
      <c r="L287" s="349"/>
      <c r="M287" s="123"/>
      <c r="N287" s="123"/>
      <c r="O287" s="123"/>
    </row>
    <row r="288" spans="1:15">
      <c r="A288" s="220">
        <v>3415</v>
      </c>
      <c r="B288" s="104">
        <v>41299</v>
      </c>
      <c r="C288" s="91" t="s">
        <v>483</v>
      </c>
      <c r="D288" s="91"/>
      <c r="E288" s="411">
        <v>11</v>
      </c>
      <c r="F288" s="91" t="s">
        <v>589</v>
      </c>
      <c r="G288" s="91" t="s">
        <v>132</v>
      </c>
      <c r="H288" s="355" t="s">
        <v>1071</v>
      </c>
      <c r="I288" s="91" t="s">
        <v>1110</v>
      </c>
      <c r="J288" s="91" t="s">
        <v>102</v>
      </c>
      <c r="K288" s="123"/>
      <c r="L288" s="349"/>
      <c r="M288" s="123"/>
      <c r="N288" s="123"/>
      <c r="O288" s="123"/>
    </row>
    <row r="289" spans="1:15">
      <c r="A289" s="220">
        <v>3413</v>
      </c>
      <c r="B289" s="104">
        <v>41299</v>
      </c>
      <c r="C289" s="91" t="s">
        <v>590</v>
      </c>
      <c r="D289" s="91"/>
      <c r="E289" s="411">
        <v>15</v>
      </c>
      <c r="F289" s="91" t="s">
        <v>381</v>
      </c>
      <c r="G289" s="91" t="s">
        <v>132</v>
      </c>
      <c r="H289" s="355" t="s">
        <v>1071</v>
      </c>
      <c r="I289" s="91" t="s">
        <v>1110</v>
      </c>
      <c r="J289" s="91" t="s">
        <v>102</v>
      </c>
      <c r="K289" s="123"/>
      <c r="L289" s="349"/>
      <c r="M289" s="123"/>
      <c r="N289" s="123"/>
      <c r="O289" s="123"/>
    </row>
    <row r="290" spans="1:15">
      <c r="A290" s="220">
        <v>3378</v>
      </c>
      <c r="B290" s="104">
        <v>41301</v>
      </c>
      <c r="C290" s="91" t="s">
        <v>484</v>
      </c>
      <c r="D290" s="105">
        <v>240</v>
      </c>
      <c r="E290" s="411">
        <f>D290/'12 - Equity Statement'!$I$10</f>
        <v>38.61625100563154</v>
      </c>
      <c r="F290" s="91" t="s">
        <v>403</v>
      </c>
      <c r="G290" s="91" t="s">
        <v>114</v>
      </c>
      <c r="H290" s="355" t="s">
        <v>118</v>
      </c>
      <c r="I290" s="91" t="s">
        <v>1110</v>
      </c>
      <c r="J290" s="91" t="s">
        <v>188</v>
      </c>
      <c r="K290" s="123"/>
      <c r="L290" s="349"/>
      <c r="M290" s="123"/>
      <c r="N290" s="123"/>
      <c r="O290" s="123"/>
    </row>
    <row r="291" spans="1:15">
      <c r="A291" s="220">
        <v>3418</v>
      </c>
      <c r="B291" s="104">
        <v>41302</v>
      </c>
      <c r="C291" s="91" t="s">
        <v>724</v>
      </c>
      <c r="D291" s="91"/>
      <c r="E291" s="411">
        <v>7.9</v>
      </c>
      <c r="F291" s="91" t="s">
        <v>725</v>
      </c>
      <c r="G291" s="91" t="s">
        <v>132</v>
      </c>
      <c r="H291" s="355" t="s">
        <v>1071</v>
      </c>
      <c r="I291" s="91" t="s">
        <v>1110</v>
      </c>
      <c r="J291" s="91" t="s">
        <v>102</v>
      </c>
      <c r="K291" s="123"/>
      <c r="L291" s="349"/>
      <c r="M291" s="123"/>
      <c r="N291" s="123"/>
      <c r="O291" s="123"/>
    </row>
    <row r="292" spans="1:15">
      <c r="A292" s="220">
        <v>3417</v>
      </c>
      <c r="B292" s="104">
        <v>41302</v>
      </c>
      <c r="C292" s="91" t="s">
        <v>722</v>
      </c>
      <c r="D292" s="91"/>
      <c r="E292" s="411">
        <v>6.29</v>
      </c>
      <c r="F292" s="91" t="s">
        <v>723</v>
      </c>
      <c r="G292" s="91" t="s">
        <v>132</v>
      </c>
      <c r="H292" s="355" t="s">
        <v>1071</v>
      </c>
      <c r="I292" s="91" t="s">
        <v>1110</v>
      </c>
      <c r="J292" s="91" t="s">
        <v>102</v>
      </c>
      <c r="K292" s="123"/>
      <c r="L292" s="349"/>
      <c r="M292" s="123"/>
      <c r="N292" s="123"/>
      <c r="O292" s="123"/>
    </row>
    <row r="293" spans="1:15">
      <c r="A293" s="220">
        <v>3416</v>
      </c>
      <c r="B293" s="104">
        <v>41302</v>
      </c>
      <c r="C293" s="91" t="s">
        <v>485</v>
      </c>
      <c r="D293" s="91"/>
      <c r="E293" s="411">
        <v>19.2</v>
      </c>
      <c r="F293" s="91" t="s">
        <v>721</v>
      </c>
      <c r="G293" s="91" t="s">
        <v>132</v>
      </c>
      <c r="H293" s="355" t="s">
        <v>1071</v>
      </c>
      <c r="I293" s="91" t="s">
        <v>1110</v>
      </c>
      <c r="J293" s="91" t="s">
        <v>102</v>
      </c>
      <c r="K293" s="123"/>
      <c r="L293" s="349"/>
      <c r="M293" s="123"/>
      <c r="N293" s="123"/>
      <c r="O293" s="123"/>
    </row>
    <row r="294" spans="1:15">
      <c r="A294" s="220">
        <v>3419</v>
      </c>
      <c r="B294" s="104">
        <v>41303</v>
      </c>
      <c r="C294" s="91" t="s">
        <v>726</v>
      </c>
      <c r="D294" s="91"/>
      <c r="E294" s="411">
        <v>20.25</v>
      </c>
      <c r="F294" s="91" t="s">
        <v>589</v>
      </c>
      <c r="G294" s="91" t="s">
        <v>132</v>
      </c>
      <c r="H294" s="355" t="s">
        <v>1071</v>
      </c>
      <c r="I294" s="91" t="s">
        <v>1110</v>
      </c>
      <c r="J294" s="91" t="s">
        <v>102</v>
      </c>
      <c r="K294" s="123"/>
      <c r="L294" s="349"/>
      <c r="M294" s="123"/>
      <c r="N294" s="123"/>
      <c r="O294" s="123"/>
    </row>
    <row r="295" spans="1:15">
      <c r="A295" s="220">
        <v>3420</v>
      </c>
      <c r="B295" s="104">
        <v>41303</v>
      </c>
      <c r="C295" s="91" t="s">
        <v>727</v>
      </c>
      <c r="D295" s="91"/>
      <c r="E295" s="411">
        <v>26</v>
      </c>
      <c r="F295" s="91" t="s">
        <v>721</v>
      </c>
      <c r="G295" s="91" t="s">
        <v>132</v>
      </c>
      <c r="H295" s="355" t="s">
        <v>1071</v>
      </c>
      <c r="I295" s="91" t="s">
        <v>1110</v>
      </c>
      <c r="J295" s="91" t="s">
        <v>102</v>
      </c>
      <c r="K295" s="123"/>
      <c r="L295" s="349"/>
      <c r="M295" s="123"/>
      <c r="N295" s="123"/>
      <c r="O295" s="123"/>
    </row>
    <row r="296" spans="1:15">
      <c r="A296" s="220">
        <v>3421</v>
      </c>
      <c r="B296" s="104">
        <v>41303</v>
      </c>
      <c r="C296" s="91" t="s">
        <v>728</v>
      </c>
      <c r="D296" s="91"/>
      <c r="E296" s="411">
        <v>54.82</v>
      </c>
      <c r="F296" s="91" t="s">
        <v>729</v>
      </c>
      <c r="G296" s="91" t="s">
        <v>106</v>
      </c>
      <c r="H296" s="355" t="s">
        <v>1071</v>
      </c>
      <c r="I296" s="91" t="s">
        <v>1110</v>
      </c>
      <c r="J296" s="91" t="s">
        <v>102</v>
      </c>
      <c r="K296" s="123"/>
      <c r="L296" s="349"/>
      <c r="M296" s="123"/>
      <c r="N296" s="123"/>
      <c r="O296" s="123"/>
    </row>
    <row r="297" spans="1:15">
      <c r="A297" s="220">
        <v>3369</v>
      </c>
      <c r="B297" s="104">
        <v>41305</v>
      </c>
      <c r="C297" s="91" t="s">
        <v>602</v>
      </c>
      <c r="D297" s="105">
        <v>4000</v>
      </c>
      <c r="E297" s="411">
        <f>D297/'12 - Equity Statement'!$I$10</f>
        <v>643.60418342719231</v>
      </c>
      <c r="F297" s="91" t="s">
        <v>603</v>
      </c>
      <c r="G297" s="91" t="s">
        <v>20</v>
      </c>
      <c r="H297" s="355" t="s">
        <v>118</v>
      </c>
      <c r="I297" s="91" t="s">
        <v>1110</v>
      </c>
      <c r="J297" s="91" t="s">
        <v>188</v>
      </c>
      <c r="K297" s="123"/>
      <c r="L297" s="349"/>
      <c r="M297" s="123"/>
      <c r="N297" s="123"/>
      <c r="O297" s="123"/>
    </row>
    <row r="298" spans="1:15">
      <c r="A298" s="220">
        <v>3366</v>
      </c>
      <c r="B298" s="104">
        <v>41305</v>
      </c>
      <c r="C298" s="91" t="s">
        <v>1120</v>
      </c>
      <c r="D298" s="105">
        <v>8695</v>
      </c>
      <c r="E298" s="411">
        <f>D298/'12 - Equity Statement'!$I$10</f>
        <v>1399.0345937248592</v>
      </c>
      <c r="F298" s="91" t="s">
        <v>304</v>
      </c>
      <c r="G298" s="91" t="s">
        <v>108</v>
      </c>
      <c r="H298" s="355" t="s">
        <v>118</v>
      </c>
      <c r="I298" s="91" t="s">
        <v>1110</v>
      </c>
      <c r="J298" s="91" t="s">
        <v>188</v>
      </c>
      <c r="K298" s="123"/>
      <c r="L298" s="349"/>
      <c r="M298" s="123"/>
      <c r="N298" s="123"/>
      <c r="O298" s="123"/>
    </row>
    <row r="299" spans="1:15">
      <c r="A299" s="220">
        <v>3365</v>
      </c>
      <c r="B299" s="104">
        <v>41305</v>
      </c>
      <c r="C299" s="91" t="s">
        <v>1131</v>
      </c>
      <c r="D299" s="105">
        <v>7500</v>
      </c>
      <c r="E299" s="411">
        <f>D299/'12 - Equity Statement'!$I$10</f>
        <v>1206.7578439259855</v>
      </c>
      <c r="F299" s="91" t="s">
        <v>404</v>
      </c>
      <c r="G299" s="91" t="s">
        <v>108</v>
      </c>
      <c r="H299" s="355" t="s">
        <v>118</v>
      </c>
      <c r="I299" s="91" t="s">
        <v>1110</v>
      </c>
      <c r="J299" s="91" t="s">
        <v>188</v>
      </c>
      <c r="K299" s="123"/>
      <c r="L299" s="349"/>
      <c r="M299" s="123"/>
      <c r="N299" s="123"/>
      <c r="O299" s="123"/>
    </row>
    <row r="300" spans="1:15">
      <c r="A300" s="220">
        <v>3368</v>
      </c>
      <c r="B300" s="104">
        <v>41305</v>
      </c>
      <c r="C300" s="91" t="s">
        <v>1150</v>
      </c>
      <c r="D300" s="105">
        <v>6000</v>
      </c>
      <c r="E300" s="411">
        <f>D300/'12 - Equity Statement'!$I$10</f>
        <v>965.40627514078847</v>
      </c>
      <c r="F300" s="91" t="s">
        <v>601</v>
      </c>
      <c r="G300" s="92" t="s">
        <v>111</v>
      </c>
      <c r="H300" s="355" t="s">
        <v>118</v>
      </c>
      <c r="I300" s="91" t="s">
        <v>1110</v>
      </c>
      <c r="J300" s="91" t="s">
        <v>188</v>
      </c>
      <c r="K300" s="123"/>
      <c r="L300" s="349"/>
      <c r="M300" s="123"/>
      <c r="N300" s="123"/>
      <c r="O300" s="123"/>
    </row>
    <row r="301" spans="1:15">
      <c r="A301" s="220">
        <v>3371</v>
      </c>
      <c r="B301" s="104">
        <v>41305</v>
      </c>
      <c r="C301" s="91" t="s">
        <v>1163</v>
      </c>
      <c r="D301" s="105">
        <v>2750</v>
      </c>
      <c r="E301" s="411">
        <f>D301/'12 - Equity Statement'!$I$10</f>
        <v>442.47787610619469</v>
      </c>
      <c r="F301" s="91" t="s">
        <v>608</v>
      </c>
      <c r="G301" s="92" t="s">
        <v>111</v>
      </c>
      <c r="H301" s="355" t="s">
        <v>118</v>
      </c>
      <c r="I301" s="91" t="s">
        <v>1110</v>
      </c>
      <c r="J301" s="91" t="s">
        <v>188</v>
      </c>
      <c r="K301" s="123"/>
      <c r="L301" s="349"/>
      <c r="M301" s="123"/>
      <c r="N301" s="123"/>
      <c r="O301" s="123"/>
    </row>
    <row r="302" spans="1:15">
      <c r="A302" s="220">
        <v>3367</v>
      </c>
      <c r="B302" s="104">
        <v>41305</v>
      </c>
      <c r="C302" s="91" t="s">
        <v>1169</v>
      </c>
      <c r="D302" s="105">
        <v>12000</v>
      </c>
      <c r="E302" s="411">
        <f>D302/'12 - Equity Statement'!$I$10</f>
        <v>1930.8125502815769</v>
      </c>
      <c r="F302" s="91" t="s">
        <v>608</v>
      </c>
      <c r="G302" s="92" t="s">
        <v>111</v>
      </c>
      <c r="H302" s="355" t="s">
        <v>118</v>
      </c>
      <c r="I302" s="91" t="s">
        <v>1110</v>
      </c>
      <c r="J302" s="91" t="s">
        <v>188</v>
      </c>
      <c r="K302" s="123"/>
      <c r="L302" s="349"/>
      <c r="M302" s="123"/>
      <c r="N302" s="123"/>
      <c r="O302" s="123"/>
    </row>
    <row r="303" spans="1:15">
      <c r="A303" s="220">
        <v>3370</v>
      </c>
      <c r="B303" s="104">
        <v>41305</v>
      </c>
      <c r="C303" s="91" t="s">
        <v>1182</v>
      </c>
      <c r="D303" s="105">
        <v>9565</v>
      </c>
      <c r="E303" s="411">
        <f>D303/'12 - Equity Statement'!$I$10</f>
        <v>1539.0185036202736</v>
      </c>
      <c r="F303" s="91" t="s">
        <v>614</v>
      </c>
      <c r="G303" s="92" t="s">
        <v>111</v>
      </c>
      <c r="H303" s="355" t="s">
        <v>118</v>
      </c>
      <c r="I303" s="91" t="s">
        <v>1110</v>
      </c>
      <c r="J303" s="91" t="s">
        <v>188</v>
      </c>
      <c r="K303" s="123"/>
      <c r="L303" s="349"/>
      <c r="M303" s="123"/>
      <c r="N303" s="123"/>
      <c r="O303" s="123"/>
    </row>
    <row r="304" spans="1:15" ht="15">
      <c r="A304" s="219">
        <v>3486</v>
      </c>
      <c r="B304" s="106">
        <v>41306</v>
      </c>
      <c r="C304" s="92" t="s">
        <v>649</v>
      </c>
      <c r="D304" s="423"/>
      <c r="E304" s="413">
        <v>200</v>
      </c>
      <c r="F304" s="92" t="s">
        <v>185</v>
      </c>
      <c r="G304" s="92" t="s">
        <v>113</v>
      </c>
      <c r="H304" s="408" t="s">
        <v>123</v>
      </c>
      <c r="I304" s="91" t="s">
        <v>1110</v>
      </c>
      <c r="J304" s="92" t="s">
        <v>102</v>
      </c>
      <c r="K304" s="355"/>
    </row>
    <row r="305" spans="1:11">
      <c r="A305" s="219">
        <v>3428</v>
      </c>
      <c r="B305" s="106">
        <v>41309</v>
      </c>
      <c r="C305" s="92" t="s">
        <v>513</v>
      </c>
      <c r="D305" s="105">
        <v>40</v>
      </c>
      <c r="E305" s="413">
        <f>D305/'12 - Equity Statement'!$J$10</f>
        <v>6.3715573679096513</v>
      </c>
      <c r="F305" s="92" t="s">
        <v>403</v>
      </c>
      <c r="G305" s="91" t="s">
        <v>114</v>
      </c>
      <c r="H305" s="355" t="s">
        <v>1071</v>
      </c>
      <c r="I305" s="91" t="s">
        <v>1110</v>
      </c>
      <c r="J305" s="92" t="s">
        <v>188</v>
      </c>
      <c r="K305" s="356" t="s">
        <v>34</v>
      </c>
    </row>
    <row r="306" spans="1:11" ht="15">
      <c r="A306" s="219">
        <v>3381</v>
      </c>
      <c r="B306" s="106">
        <v>41310</v>
      </c>
      <c r="C306" s="92" t="s">
        <v>514</v>
      </c>
      <c r="D306" s="423"/>
      <c r="E306" s="413">
        <v>1250</v>
      </c>
      <c r="F306" s="92" t="s">
        <v>515</v>
      </c>
      <c r="G306" s="92" t="s">
        <v>109</v>
      </c>
      <c r="H306" s="355" t="s">
        <v>1072</v>
      </c>
      <c r="I306" s="91" t="s">
        <v>1110</v>
      </c>
      <c r="J306" s="92" t="s">
        <v>188</v>
      </c>
      <c r="K306" s="355"/>
    </row>
    <row r="307" spans="1:11">
      <c r="A307" s="219">
        <v>3429</v>
      </c>
      <c r="B307" s="106">
        <v>41311</v>
      </c>
      <c r="C307" s="92" t="s">
        <v>413</v>
      </c>
      <c r="D307" s="105">
        <v>557.77</v>
      </c>
      <c r="E307" s="413">
        <f>D307/'12 - Equity Statement'!$J$10</f>
        <v>88.84658882747415</v>
      </c>
      <c r="F307" s="92" t="s">
        <v>302</v>
      </c>
      <c r="G307" s="91" t="s">
        <v>114</v>
      </c>
      <c r="H307" s="355" t="s">
        <v>118</v>
      </c>
      <c r="I307" s="91" t="s">
        <v>1110</v>
      </c>
      <c r="J307" s="92" t="s">
        <v>101</v>
      </c>
      <c r="K307" s="355" t="s">
        <v>23</v>
      </c>
    </row>
    <row r="308" spans="1:11">
      <c r="A308" s="219">
        <v>3430</v>
      </c>
      <c r="B308" s="106">
        <v>41313</v>
      </c>
      <c r="C308" s="92" t="s">
        <v>414</v>
      </c>
      <c r="D308" s="105">
        <v>16</v>
      </c>
      <c r="E308" s="413">
        <f>D308/'12 - Equity Statement'!$J$10</f>
        <v>2.5486229471638606</v>
      </c>
      <c r="F308" s="92" t="s">
        <v>403</v>
      </c>
      <c r="G308" s="91" t="s">
        <v>114</v>
      </c>
      <c r="H308" s="355" t="s">
        <v>1071</v>
      </c>
      <c r="I308" s="91" t="s">
        <v>1110</v>
      </c>
      <c r="J308" s="92" t="s">
        <v>188</v>
      </c>
      <c r="K308" s="356" t="s">
        <v>29</v>
      </c>
    </row>
    <row r="309" spans="1:11">
      <c r="A309" s="219">
        <v>3434</v>
      </c>
      <c r="B309" s="106">
        <v>41313</v>
      </c>
      <c r="C309" s="92" t="s">
        <v>513</v>
      </c>
      <c r="D309" s="105">
        <v>40</v>
      </c>
      <c r="E309" s="413">
        <f>D309/'12 - Equity Statement'!$J$10</f>
        <v>6.3715573679096513</v>
      </c>
      <c r="F309" s="92" t="s">
        <v>403</v>
      </c>
      <c r="G309" s="91" t="s">
        <v>114</v>
      </c>
      <c r="H309" s="355" t="s">
        <v>1071</v>
      </c>
      <c r="I309" s="91" t="s">
        <v>1110</v>
      </c>
      <c r="J309" s="92" t="s">
        <v>188</v>
      </c>
      <c r="K309" s="356" t="s">
        <v>34</v>
      </c>
    </row>
    <row r="310" spans="1:11">
      <c r="A310" s="219">
        <v>3433</v>
      </c>
      <c r="B310" s="106">
        <v>41313</v>
      </c>
      <c r="C310" s="92" t="s">
        <v>1151</v>
      </c>
      <c r="D310" s="105">
        <v>1800</v>
      </c>
      <c r="E310" s="413">
        <f>D310/'12 - Equity Statement'!$J$10</f>
        <v>286.72008155593431</v>
      </c>
      <c r="F310" s="92" t="s">
        <v>601</v>
      </c>
      <c r="G310" s="92" t="s">
        <v>111</v>
      </c>
      <c r="H310" s="356" t="s">
        <v>119</v>
      </c>
      <c r="I310" s="91" t="s">
        <v>1110</v>
      </c>
      <c r="J310" s="92" t="s">
        <v>188</v>
      </c>
      <c r="K310" s="355"/>
    </row>
    <row r="311" spans="1:11">
      <c r="A311" s="219">
        <v>3431</v>
      </c>
      <c r="B311" s="106">
        <v>41313</v>
      </c>
      <c r="C311" s="91" t="s">
        <v>1164</v>
      </c>
      <c r="D311" s="105">
        <v>1000</v>
      </c>
      <c r="E311" s="413">
        <f>D311/'12 - Equity Statement'!$J$10</f>
        <v>159.2889341977413</v>
      </c>
      <c r="F311" s="92" t="s">
        <v>608</v>
      </c>
      <c r="G311" s="92" t="s">
        <v>111</v>
      </c>
      <c r="H311" s="356" t="s">
        <v>119</v>
      </c>
      <c r="I311" s="91" t="s">
        <v>1110</v>
      </c>
      <c r="J311" s="92" t="s">
        <v>101</v>
      </c>
      <c r="K311" s="355"/>
    </row>
    <row r="312" spans="1:11">
      <c r="A312" s="219">
        <v>3432</v>
      </c>
      <c r="B312" s="106">
        <v>41313</v>
      </c>
      <c r="C312" s="92" t="s">
        <v>415</v>
      </c>
      <c r="D312" s="105">
        <v>4620</v>
      </c>
      <c r="E312" s="413">
        <f>D312/'12 - Equity Statement'!$J$10</f>
        <v>735.91487599356469</v>
      </c>
      <c r="F312" s="92" t="s">
        <v>416</v>
      </c>
      <c r="G312" s="92" t="s">
        <v>111</v>
      </c>
      <c r="H312" s="355" t="s">
        <v>118</v>
      </c>
      <c r="I312" s="91" t="s">
        <v>1110</v>
      </c>
      <c r="J312" s="92" t="s">
        <v>101</v>
      </c>
      <c r="K312" s="355" t="s">
        <v>23</v>
      </c>
    </row>
    <row r="313" spans="1:11">
      <c r="A313" s="219">
        <v>3414</v>
      </c>
      <c r="B313" s="106">
        <v>41324</v>
      </c>
      <c r="C313" s="92" t="s">
        <v>513</v>
      </c>
      <c r="D313" s="105">
        <v>40</v>
      </c>
      <c r="E313" s="413">
        <f>D313/'12 - Equity Statement'!$J$10</f>
        <v>6.3715573679096513</v>
      </c>
      <c r="F313" s="92" t="s">
        <v>403</v>
      </c>
      <c r="G313" s="91" t="s">
        <v>114</v>
      </c>
      <c r="H313" s="355" t="s">
        <v>1071</v>
      </c>
      <c r="I313" s="91" t="s">
        <v>1110</v>
      </c>
      <c r="J313" s="92" t="s">
        <v>188</v>
      </c>
      <c r="K313" s="356" t="s">
        <v>34</v>
      </c>
    </row>
    <row r="314" spans="1:11">
      <c r="A314" s="219">
        <v>3436</v>
      </c>
      <c r="B314" s="106">
        <v>41327</v>
      </c>
      <c r="C314" s="92" t="s">
        <v>321</v>
      </c>
      <c r="D314" s="105">
        <v>22</v>
      </c>
      <c r="E314" s="413">
        <f>D314/'12 - Equity Statement'!$J$10</f>
        <v>3.5043565523503082</v>
      </c>
      <c r="F314" s="92" t="s">
        <v>510</v>
      </c>
      <c r="G314" s="91" t="s">
        <v>132</v>
      </c>
      <c r="H314" s="355" t="s">
        <v>1071</v>
      </c>
      <c r="I314" s="91" t="s">
        <v>1110</v>
      </c>
      <c r="J314" s="92" t="s">
        <v>188</v>
      </c>
      <c r="K314" s="356" t="s">
        <v>29</v>
      </c>
    </row>
    <row r="315" spans="1:11">
      <c r="A315" s="219">
        <v>3438</v>
      </c>
      <c r="B315" s="106">
        <v>41328</v>
      </c>
      <c r="C315" s="92" t="s">
        <v>438</v>
      </c>
      <c r="D315" s="105">
        <v>200</v>
      </c>
      <c r="E315" s="413">
        <f>D315/'12 - Equity Statement'!$J$10</f>
        <v>31.857786839548258</v>
      </c>
      <c r="F315" s="92" t="s">
        <v>403</v>
      </c>
      <c r="G315" s="92" t="s">
        <v>106</v>
      </c>
      <c r="H315" s="355" t="s">
        <v>118</v>
      </c>
      <c r="I315" s="91" t="s">
        <v>1110</v>
      </c>
      <c r="J315" s="92" t="s">
        <v>188</v>
      </c>
      <c r="K315" s="355" t="s">
        <v>23</v>
      </c>
    </row>
    <row r="316" spans="1:11">
      <c r="A316" s="219">
        <v>3437</v>
      </c>
      <c r="B316" s="106">
        <v>41328</v>
      </c>
      <c r="C316" s="92" t="s">
        <v>437</v>
      </c>
      <c r="D316" s="105">
        <v>50</v>
      </c>
      <c r="E316" s="413">
        <f>D316/'12 - Equity Statement'!$J$10</f>
        <v>7.9644467098870644</v>
      </c>
      <c r="F316" s="92" t="s">
        <v>403</v>
      </c>
      <c r="G316" s="92" t="s">
        <v>106</v>
      </c>
      <c r="H316" s="355" t="s">
        <v>118</v>
      </c>
      <c r="I316" s="91" t="s">
        <v>1110</v>
      </c>
      <c r="J316" s="92" t="s">
        <v>188</v>
      </c>
      <c r="K316" s="355" t="s">
        <v>26</v>
      </c>
    </row>
    <row r="317" spans="1:11">
      <c r="A317" s="219">
        <v>3439</v>
      </c>
      <c r="B317" s="106">
        <v>41330</v>
      </c>
      <c r="C317" s="92" t="s">
        <v>439</v>
      </c>
      <c r="D317" s="105">
        <v>1000</v>
      </c>
      <c r="E317" s="413">
        <f>D317/'12 - Equity Statement'!$J$10</f>
        <v>159.2889341977413</v>
      </c>
      <c r="F317" s="92" t="s">
        <v>440</v>
      </c>
      <c r="G317" s="91" t="s">
        <v>114</v>
      </c>
      <c r="H317" s="355" t="s">
        <v>1071</v>
      </c>
      <c r="I317" s="91" t="s">
        <v>1110</v>
      </c>
      <c r="J317" s="92" t="s">
        <v>188</v>
      </c>
      <c r="K317" s="356" t="s">
        <v>29</v>
      </c>
    </row>
    <row r="318" spans="1:11">
      <c r="A318" s="219">
        <v>3444</v>
      </c>
      <c r="B318" s="106">
        <v>41333</v>
      </c>
      <c r="C318" s="92" t="s">
        <v>547</v>
      </c>
      <c r="D318" s="105">
        <v>4000</v>
      </c>
      <c r="E318" s="413">
        <f>D318/'12 - Equity Statement'!$J$10</f>
        <v>637.15573679096519</v>
      </c>
      <c r="F318" s="92" t="s">
        <v>603</v>
      </c>
      <c r="G318" s="91" t="s">
        <v>20</v>
      </c>
      <c r="H318" s="356" t="s">
        <v>119</v>
      </c>
      <c r="I318" s="91" t="s">
        <v>1110</v>
      </c>
      <c r="J318" s="92" t="s">
        <v>188</v>
      </c>
      <c r="K318" s="355"/>
    </row>
    <row r="319" spans="1:11">
      <c r="A319" s="219">
        <v>3443</v>
      </c>
      <c r="B319" s="106">
        <v>41333</v>
      </c>
      <c r="C319" s="92" t="s">
        <v>1119</v>
      </c>
      <c r="D319" s="105">
        <v>10000</v>
      </c>
      <c r="E319" s="413">
        <f>D319/'12 - Equity Statement'!$J$10</f>
        <v>1592.8893419774129</v>
      </c>
      <c r="F319" s="92" t="s">
        <v>304</v>
      </c>
      <c r="G319" s="91" t="s">
        <v>108</v>
      </c>
      <c r="H319" s="355" t="s">
        <v>1071</v>
      </c>
      <c r="I319" s="91" t="s">
        <v>1110</v>
      </c>
      <c r="J319" s="92" t="s">
        <v>188</v>
      </c>
      <c r="K319" s="356" t="s">
        <v>30</v>
      </c>
    </row>
    <row r="320" spans="1:11">
      <c r="A320" s="219">
        <v>3446</v>
      </c>
      <c r="B320" s="106">
        <v>41333</v>
      </c>
      <c r="C320" s="92" t="s">
        <v>1130</v>
      </c>
      <c r="D320" s="105">
        <v>6000</v>
      </c>
      <c r="E320" s="413">
        <f>D320/'12 - Equity Statement'!$J$10</f>
        <v>955.73360518644768</v>
      </c>
      <c r="F320" s="92" t="s">
        <v>404</v>
      </c>
      <c r="G320" s="91" t="s">
        <v>108</v>
      </c>
      <c r="H320" s="355" t="s">
        <v>118</v>
      </c>
      <c r="I320" s="91" t="s">
        <v>1110</v>
      </c>
      <c r="J320" s="92" t="s">
        <v>188</v>
      </c>
      <c r="K320" s="355" t="s">
        <v>25</v>
      </c>
    </row>
    <row r="321" spans="1:11">
      <c r="A321" s="219">
        <v>3447</v>
      </c>
      <c r="B321" s="106">
        <v>41333</v>
      </c>
      <c r="C321" s="92" t="s">
        <v>1168</v>
      </c>
      <c r="D321" s="105">
        <v>12000</v>
      </c>
      <c r="E321" s="413">
        <f>D321/'12 - Equity Statement'!$J$10</f>
        <v>1911.4672103728954</v>
      </c>
      <c r="F321" s="92" t="s">
        <v>608</v>
      </c>
      <c r="G321" s="92" t="s">
        <v>111</v>
      </c>
      <c r="H321" s="355" t="s">
        <v>1071</v>
      </c>
      <c r="I321" s="91" t="s">
        <v>1110</v>
      </c>
      <c r="J321" s="92" t="s">
        <v>101</v>
      </c>
      <c r="K321" s="355" t="s">
        <v>32</v>
      </c>
    </row>
    <row r="322" spans="1:11">
      <c r="A322" s="219">
        <v>3445</v>
      </c>
      <c r="B322" s="106">
        <v>41333</v>
      </c>
      <c r="C322" s="92" t="s">
        <v>1181</v>
      </c>
      <c r="D322" s="105">
        <v>20000</v>
      </c>
      <c r="E322" s="413">
        <f>D322/'12 - Equity Statement'!$J$10</f>
        <v>3185.7786839548257</v>
      </c>
      <c r="F322" s="92" t="s">
        <v>614</v>
      </c>
      <c r="G322" s="92" t="s">
        <v>111</v>
      </c>
      <c r="H322" s="355" t="s">
        <v>118</v>
      </c>
      <c r="I322" s="91" t="s">
        <v>1110</v>
      </c>
      <c r="J322" s="92" t="s">
        <v>188</v>
      </c>
      <c r="K322" s="355" t="s">
        <v>26</v>
      </c>
    </row>
    <row r="323" spans="1:11" ht="15">
      <c r="A323" s="219">
        <v>3487</v>
      </c>
      <c r="B323" s="106">
        <v>41334</v>
      </c>
      <c r="C323" s="92" t="s">
        <v>649</v>
      </c>
      <c r="D323" s="423"/>
      <c r="E323" s="413">
        <v>200</v>
      </c>
      <c r="F323" s="92" t="s">
        <v>185</v>
      </c>
      <c r="G323" s="92" t="s">
        <v>113</v>
      </c>
      <c r="H323" s="408" t="s">
        <v>123</v>
      </c>
      <c r="I323" s="91" t="s">
        <v>1110</v>
      </c>
      <c r="J323" s="92" t="s">
        <v>102</v>
      </c>
      <c r="K323" s="355"/>
    </row>
    <row r="324" spans="1:11">
      <c r="A324" s="219">
        <v>3435</v>
      </c>
      <c r="B324" s="106">
        <v>41337</v>
      </c>
      <c r="C324" s="92" t="s">
        <v>180</v>
      </c>
      <c r="D324" s="105">
        <v>40</v>
      </c>
      <c r="E324" s="413">
        <f>D324/'12 - Equity Statement'!$K$10</f>
        <v>6.3807047488395092</v>
      </c>
      <c r="F324" s="92" t="s">
        <v>403</v>
      </c>
      <c r="G324" s="91" t="s">
        <v>114</v>
      </c>
      <c r="H324" s="355" t="s">
        <v>1071</v>
      </c>
      <c r="I324" s="91" t="s">
        <v>1110</v>
      </c>
      <c r="J324" s="92" t="s">
        <v>188</v>
      </c>
      <c r="K324" s="356" t="s">
        <v>34</v>
      </c>
    </row>
    <row r="325" spans="1:11">
      <c r="A325" s="219">
        <v>3455</v>
      </c>
      <c r="B325" s="106">
        <v>41338</v>
      </c>
      <c r="C325" s="92" t="s">
        <v>785</v>
      </c>
      <c r="D325" s="105">
        <v>178.6</v>
      </c>
      <c r="E325" s="413">
        <f>D325/'12 - Equity Statement'!$K$10</f>
        <v>28.489846703568407</v>
      </c>
      <c r="F325" s="92" t="s">
        <v>302</v>
      </c>
      <c r="G325" s="91" t="s">
        <v>114</v>
      </c>
      <c r="H325" s="355" t="s">
        <v>118</v>
      </c>
      <c r="I325" s="91" t="s">
        <v>1110</v>
      </c>
      <c r="J325" s="92" t="s">
        <v>101</v>
      </c>
      <c r="K325" s="355" t="s">
        <v>23</v>
      </c>
    </row>
    <row r="326" spans="1:11">
      <c r="A326" s="219">
        <v>3488</v>
      </c>
      <c r="B326" s="106">
        <v>41338</v>
      </c>
      <c r="C326" s="92" t="s">
        <v>667</v>
      </c>
      <c r="D326" s="105">
        <v>77</v>
      </c>
      <c r="E326" s="413">
        <f>D326/'12 - Equity Statement'!$K$10</f>
        <v>12.282856641516055</v>
      </c>
      <c r="F326" s="92" t="s">
        <v>179</v>
      </c>
      <c r="G326" s="91" t="s">
        <v>132</v>
      </c>
      <c r="H326" s="355" t="s">
        <v>1071</v>
      </c>
      <c r="I326" s="91" t="s">
        <v>1110</v>
      </c>
      <c r="J326" s="92" t="s">
        <v>101</v>
      </c>
      <c r="K326" s="355" t="s">
        <v>32</v>
      </c>
    </row>
    <row r="327" spans="1:11">
      <c r="A327" s="219">
        <v>3457</v>
      </c>
      <c r="B327" s="106">
        <v>41341</v>
      </c>
      <c r="C327" s="92" t="s">
        <v>668</v>
      </c>
      <c r="D327" s="105">
        <v>21</v>
      </c>
      <c r="E327" s="413">
        <f>D327/'12 - Equity Statement'!$K$10</f>
        <v>3.3498699931407421</v>
      </c>
      <c r="F327" s="92" t="s">
        <v>510</v>
      </c>
      <c r="G327" s="91" t="s">
        <v>132</v>
      </c>
      <c r="H327" s="355" t="s">
        <v>1071</v>
      </c>
      <c r="I327" s="91" t="s">
        <v>1110</v>
      </c>
      <c r="J327" s="92" t="s">
        <v>188</v>
      </c>
      <c r="K327" s="356" t="s">
        <v>29</v>
      </c>
    </row>
    <row r="328" spans="1:11">
      <c r="A328" s="219">
        <v>3459</v>
      </c>
      <c r="B328" s="106">
        <v>41341</v>
      </c>
      <c r="C328" s="92" t="s">
        <v>669</v>
      </c>
      <c r="D328" s="105">
        <v>20</v>
      </c>
      <c r="E328" s="413">
        <f>D328/'12 - Equity Statement'!$K$10</f>
        <v>3.1903523744197546</v>
      </c>
      <c r="F328" s="92" t="s">
        <v>264</v>
      </c>
      <c r="G328" s="268" t="s">
        <v>106</v>
      </c>
      <c r="H328" s="355" t="s">
        <v>120</v>
      </c>
      <c r="I328" s="91" t="s">
        <v>1110</v>
      </c>
      <c r="J328" s="92" t="s">
        <v>101</v>
      </c>
      <c r="K328" s="356"/>
    </row>
    <row r="329" spans="1:11">
      <c r="A329" s="219">
        <v>3489</v>
      </c>
      <c r="B329" s="106">
        <v>41344</v>
      </c>
      <c r="C329" s="92" t="s">
        <v>180</v>
      </c>
      <c r="D329" s="105">
        <v>40</v>
      </c>
      <c r="E329" s="413">
        <f>D329/'12 - Equity Statement'!$K$10</f>
        <v>6.3807047488395092</v>
      </c>
      <c r="F329" s="92" t="s">
        <v>403</v>
      </c>
      <c r="G329" s="91" t="s">
        <v>114</v>
      </c>
      <c r="H329" s="355" t="s">
        <v>1071</v>
      </c>
      <c r="I329" s="91" t="s">
        <v>1110</v>
      </c>
      <c r="J329" s="92" t="s">
        <v>188</v>
      </c>
      <c r="K329" s="356" t="s">
        <v>34</v>
      </c>
    </row>
    <row r="330" spans="1:11">
      <c r="A330" s="219">
        <v>3490</v>
      </c>
      <c r="B330" s="106">
        <v>41344</v>
      </c>
      <c r="C330" s="92" t="s">
        <v>656</v>
      </c>
      <c r="D330" s="105">
        <v>252</v>
      </c>
      <c r="E330" s="413">
        <f>D330/'12 - Equity Statement'!$K$10</f>
        <v>40.198439917688908</v>
      </c>
      <c r="F330" s="92" t="s">
        <v>354</v>
      </c>
      <c r="G330" s="91" t="s">
        <v>114</v>
      </c>
      <c r="H330" s="355" t="s">
        <v>1071</v>
      </c>
      <c r="I330" s="91" t="s">
        <v>1110</v>
      </c>
      <c r="J330" s="92" t="s">
        <v>101</v>
      </c>
      <c r="K330" s="356" t="s">
        <v>29</v>
      </c>
    </row>
    <row r="331" spans="1:11">
      <c r="A331" s="219">
        <v>3491</v>
      </c>
      <c r="B331" s="106">
        <v>41344</v>
      </c>
      <c r="C331" s="92" t="s">
        <v>657</v>
      </c>
      <c r="D331" s="105">
        <v>2200</v>
      </c>
      <c r="E331" s="413">
        <f>D331/'12 - Equity Statement'!$K$10</f>
        <v>350.938761186173</v>
      </c>
      <c r="F331" s="92" t="s">
        <v>403</v>
      </c>
      <c r="G331" s="268" t="s">
        <v>106</v>
      </c>
      <c r="H331" s="355" t="s">
        <v>120</v>
      </c>
      <c r="I331" s="91" t="s">
        <v>1110</v>
      </c>
      <c r="J331" s="92" t="s">
        <v>188</v>
      </c>
      <c r="K331" s="356"/>
    </row>
    <row r="332" spans="1:11">
      <c r="A332" s="219">
        <v>3497</v>
      </c>
      <c r="B332" s="106">
        <v>41347</v>
      </c>
      <c r="C332" s="92" t="s">
        <v>465</v>
      </c>
      <c r="D332" s="105">
        <v>1680</v>
      </c>
      <c r="E332" s="413">
        <f>D332/'12 - Equity Statement'!$K$10</f>
        <v>267.98959945125938</v>
      </c>
      <c r="F332" s="92" t="s">
        <v>183</v>
      </c>
      <c r="G332" s="92" t="s">
        <v>111</v>
      </c>
      <c r="H332" s="355" t="s">
        <v>118</v>
      </c>
      <c r="I332" s="91" t="s">
        <v>1110</v>
      </c>
      <c r="J332" s="92" t="s">
        <v>101</v>
      </c>
      <c r="K332" s="355" t="s">
        <v>26</v>
      </c>
    </row>
    <row r="333" spans="1:11">
      <c r="A333" s="219">
        <v>3496</v>
      </c>
      <c r="B333" s="106">
        <v>41347</v>
      </c>
      <c r="C333" s="92" t="s">
        <v>565</v>
      </c>
      <c r="D333" s="105">
        <v>870</v>
      </c>
      <c r="E333" s="413">
        <f>D333/'12 - Equity Statement'!$K$10</f>
        <v>138.78032828725932</v>
      </c>
      <c r="F333" s="92" t="s">
        <v>182</v>
      </c>
      <c r="G333" s="92" t="s">
        <v>111</v>
      </c>
      <c r="H333" s="355" t="s">
        <v>118</v>
      </c>
      <c r="I333" s="91" t="s">
        <v>1110</v>
      </c>
      <c r="J333" s="92" t="s">
        <v>101</v>
      </c>
      <c r="K333" s="355" t="s">
        <v>26</v>
      </c>
    </row>
    <row r="334" spans="1:11">
      <c r="A334" s="219">
        <v>3500</v>
      </c>
      <c r="B334" s="106">
        <v>41351</v>
      </c>
      <c r="C334" s="92" t="s">
        <v>180</v>
      </c>
      <c r="D334" s="105">
        <v>40</v>
      </c>
      <c r="E334" s="413">
        <f>D334/'12 - Equity Statement'!$K$10</f>
        <v>6.3807047488395092</v>
      </c>
      <c r="F334" s="92" t="s">
        <v>403</v>
      </c>
      <c r="G334" s="91" t="s">
        <v>114</v>
      </c>
      <c r="H334" s="355" t="s">
        <v>1071</v>
      </c>
      <c r="I334" s="91" t="s">
        <v>1110</v>
      </c>
      <c r="J334" s="92" t="s">
        <v>188</v>
      </c>
      <c r="K334" s="356" t="s">
        <v>34</v>
      </c>
    </row>
    <row r="335" spans="1:11">
      <c r="A335" s="219">
        <v>3499</v>
      </c>
      <c r="B335" s="106">
        <v>41351</v>
      </c>
      <c r="C335" s="92" t="s">
        <v>1183</v>
      </c>
      <c r="D335" s="105">
        <v>20000</v>
      </c>
      <c r="E335" s="413">
        <f>D335/'12 - Equity Statement'!$K$10</f>
        <v>3190.3523744197546</v>
      </c>
      <c r="F335" s="92" t="s">
        <v>372</v>
      </c>
      <c r="G335" s="92" t="s">
        <v>111</v>
      </c>
      <c r="H335" s="355" t="s">
        <v>118</v>
      </c>
      <c r="I335" s="91" t="s">
        <v>1110</v>
      </c>
      <c r="J335" s="92" t="s">
        <v>188</v>
      </c>
      <c r="K335" s="355" t="s">
        <v>26</v>
      </c>
    </row>
    <row r="336" spans="1:11" ht="15">
      <c r="A336" s="219">
        <v>3507</v>
      </c>
      <c r="B336" s="106">
        <v>41352</v>
      </c>
      <c r="C336" s="92" t="s">
        <v>362</v>
      </c>
      <c r="D336" s="423"/>
      <c r="E336" s="413">
        <v>45</v>
      </c>
      <c r="F336" s="92" t="s">
        <v>363</v>
      </c>
      <c r="G336" s="91" t="s">
        <v>114</v>
      </c>
      <c r="H336" s="355" t="s">
        <v>1071</v>
      </c>
      <c r="I336" s="91" t="s">
        <v>1110</v>
      </c>
      <c r="J336" s="92" t="s">
        <v>290</v>
      </c>
      <c r="K336" s="355" t="s">
        <v>29</v>
      </c>
    </row>
    <row r="337" spans="1:11">
      <c r="A337" s="219">
        <v>3502</v>
      </c>
      <c r="B337" s="106">
        <v>41353</v>
      </c>
      <c r="C337" s="92" t="s">
        <v>373</v>
      </c>
      <c r="D337" s="105">
        <v>22</v>
      </c>
      <c r="E337" s="413">
        <f>D337/'12 - Equity Statement'!$K$10</f>
        <v>3.50938761186173</v>
      </c>
      <c r="F337" s="92" t="s">
        <v>510</v>
      </c>
      <c r="G337" s="91" t="s">
        <v>132</v>
      </c>
      <c r="H337" s="355" t="s">
        <v>1071</v>
      </c>
      <c r="I337" s="91" t="s">
        <v>1110</v>
      </c>
      <c r="J337" s="92" t="s">
        <v>188</v>
      </c>
      <c r="K337" s="356" t="s">
        <v>29</v>
      </c>
    </row>
    <row r="338" spans="1:11">
      <c r="A338" s="219">
        <v>3503</v>
      </c>
      <c r="B338" s="106">
        <v>41354</v>
      </c>
      <c r="C338" s="92" t="s">
        <v>374</v>
      </c>
      <c r="D338" s="105">
        <v>21</v>
      </c>
      <c r="E338" s="413">
        <f>D338/'12 - Equity Statement'!$K$10</f>
        <v>3.3498699931407421</v>
      </c>
      <c r="F338" s="92" t="s">
        <v>375</v>
      </c>
      <c r="G338" s="91" t="s">
        <v>132</v>
      </c>
      <c r="H338" s="355" t="s">
        <v>1071</v>
      </c>
      <c r="I338" s="91" t="s">
        <v>1110</v>
      </c>
      <c r="J338" s="92" t="s">
        <v>188</v>
      </c>
      <c r="K338" s="356" t="s">
        <v>29</v>
      </c>
    </row>
    <row r="339" spans="1:11">
      <c r="A339" s="219">
        <v>3504</v>
      </c>
      <c r="B339" s="106">
        <v>41355</v>
      </c>
      <c r="C339" s="92" t="s">
        <v>376</v>
      </c>
      <c r="D339" s="105">
        <v>5</v>
      </c>
      <c r="E339" s="413">
        <f>D339/'12 - Equity Statement'!$K$10</f>
        <v>0.79758809360493865</v>
      </c>
      <c r="F339" s="92" t="s">
        <v>403</v>
      </c>
      <c r="G339" s="91" t="s">
        <v>114</v>
      </c>
      <c r="H339" s="355" t="s">
        <v>118</v>
      </c>
      <c r="I339" s="91" t="s">
        <v>1110</v>
      </c>
      <c r="J339" s="92" t="s">
        <v>188</v>
      </c>
      <c r="K339" s="355" t="s">
        <v>23</v>
      </c>
    </row>
    <row r="340" spans="1:11">
      <c r="A340" s="219">
        <v>3505</v>
      </c>
      <c r="B340" s="106">
        <v>41358</v>
      </c>
      <c r="C340" s="92" t="s">
        <v>368</v>
      </c>
      <c r="D340" s="105">
        <v>40</v>
      </c>
      <c r="E340" s="413">
        <f>D340/'12 - Equity Statement'!$K$10</f>
        <v>6.3807047488395092</v>
      </c>
      <c r="F340" s="92" t="s">
        <v>403</v>
      </c>
      <c r="G340" s="91" t="s">
        <v>114</v>
      </c>
      <c r="H340" s="355" t="s">
        <v>1071</v>
      </c>
      <c r="I340" s="91" t="s">
        <v>1110</v>
      </c>
      <c r="J340" s="92" t="s">
        <v>188</v>
      </c>
      <c r="K340" s="356" t="s">
        <v>34</v>
      </c>
    </row>
    <row r="341" spans="1:11" ht="15">
      <c r="A341" s="219">
        <v>3529</v>
      </c>
      <c r="B341" s="106">
        <v>41359</v>
      </c>
      <c r="C341" s="92" t="s">
        <v>189</v>
      </c>
      <c r="D341" s="423"/>
      <c r="E341" s="413">
        <v>8060</v>
      </c>
      <c r="F341" s="92" t="s">
        <v>477</v>
      </c>
      <c r="G341" s="92" t="s">
        <v>108</v>
      </c>
      <c r="H341" s="355" t="s">
        <v>1071</v>
      </c>
      <c r="I341" s="91" t="s">
        <v>1110</v>
      </c>
      <c r="J341" s="92" t="s">
        <v>290</v>
      </c>
      <c r="K341" s="355" t="s">
        <v>30</v>
      </c>
    </row>
    <row r="342" spans="1:11">
      <c r="A342" s="219">
        <v>3527</v>
      </c>
      <c r="B342" s="106">
        <v>41360</v>
      </c>
      <c r="C342" s="92" t="s">
        <v>482</v>
      </c>
      <c r="D342" s="105">
        <v>6000</v>
      </c>
      <c r="E342" s="413">
        <f>D342/'12 - Equity Statement'!$K$10</f>
        <v>957.10571232592633</v>
      </c>
      <c r="F342" s="92" t="s">
        <v>582</v>
      </c>
      <c r="G342" s="92" t="s">
        <v>109</v>
      </c>
      <c r="H342" s="355" t="s">
        <v>1071</v>
      </c>
      <c r="I342" s="91" t="s">
        <v>1110</v>
      </c>
      <c r="J342" s="92" t="s">
        <v>188</v>
      </c>
      <c r="K342" s="356" t="s">
        <v>34</v>
      </c>
    </row>
    <row r="343" spans="1:11">
      <c r="A343" s="219">
        <v>3526</v>
      </c>
      <c r="B343" s="106">
        <v>41362</v>
      </c>
      <c r="C343" s="92" t="s">
        <v>748</v>
      </c>
      <c r="D343" s="105">
        <v>5500</v>
      </c>
      <c r="E343" s="413">
        <f>D343/'12 - Equity Statement'!$K$10</f>
        <v>877.34690296543249</v>
      </c>
      <c r="F343" s="92" t="s">
        <v>603</v>
      </c>
      <c r="G343" s="91" t="s">
        <v>20</v>
      </c>
      <c r="H343" s="356" t="s">
        <v>119</v>
      </c>
      <c r="I343" s="91" t="s">
        <v>1110</v>
      </c>
      <c r="J343" s="92" t="s">
        <v>188</v>
      </c>
      <c r="K343" s="355"/>
    </row>
    <row r="344" spans="1:11">
      <c r="A344" s="219">
        <v>3520</v>
      </c>
      <c r="B344" s="106">
        <v>41362</v>
      </c>
      <c r="C344" s="92" t="s">
        <v>849</v>
      </c>
      <c r="D344" s="105">
        <v>5500</v>
      </c>
      <c r="E344" s="413">
        <f>D344/'12 - Equity Statement'!$K$10</f>
        <v>877.34690296543249</v>
      </c>
      <c r="F344" s="92" t="s">
        <v>509</v>
      </c>
      <c r="G344" s="91" t="s">
        <v>108</v>
      </c>
      <c r="H344" s="355" t="s">
        <v>1071</v>
      </c>
      <c r="I344" s="91" t="s">
        <v>1110</v>
      </c>
      <c r="J344" s="92" t="s">
        <v>101</v>
      </c>
      <c r="K344" s="355" t="s">
        <v>32</v>
      </c>
    </row>
    <row r="345" spans="1:11">
      <c r="A345" s="219">
        <v>3525</v>
      </c>
      <c r="B345" s="106">
        <v>41362</v>
      </c>
      <c r="C345" s="92" t="s">
        <v>1123</v>
      </c>
      <c r="D345" s="105">
        <v>13000</v>
      </c>
      <c r="E345" s="413">
        <f>D345/'12 - Equity Statement'!$K$10</f>
        <v>2073.7290433728404</v>
      </c>
      <c r="F345" s="92" t="s">
        <v>304</v>
      </c>
      <c r="G345" s="91" t="s">
        <v>108</v>
      </c>
      <c r="H345" s="355" t="s">
        <v>1071</v>
      </c>
      <c r="I345" s="91" t="s">
        <v>1110</v>
      </c>
      <c r="J345" s="92" t="s">
        <v>188</v>
      </c>
      <c r="K345" s="356" t="s">
        <v>30</v>
      </c>
    </row>
    <row r="346" spans="1:11">
      <c r="A346" s="219">
        <v>3523</v>
      </c>
      <c r="B346" s="106">
        <v>41362</v>
      </c>
      <c r="C346" s="92" t="s">
        <v>1134</v>
      </c>
      <c r="D346" s="105">
        <v>6000</v>
      </c>
      <c r="E346" s="413">
        <f>D346/'12 - Equity Statement'!$K$10</f>
        <v>957.10571232592633</v>
      </c>
      <c r="F346" s="92" t="s">
        <v>404</v>
      </c>
      <c r="G346" s="91" t="s">
        <v>108</v>
      </c>
      <c r="H346" s="355" t="s">
        <v>1071</v>
      </c>
      <c r="I346" s="91" t="s">
        <v>1110</v>
      </c>
      <c r="J346" s="92" t="s">
        <v>188</v>
      </c>
      <c r="K346" s="355" t="s">
        <v>32</v>
      </c>
    </row>
    <row r="347" spans="1:11">
      <c r="A347" s="219">
        <v>3522</v>
      </c>
      <c r="B347" s="106">
        <v>41362</v>
      </c>
      <c r="C347" s="92" t="s">
        <v>851</v>
      </c>
      <c r="D347" s="105">
        <v>3000</v>
      </c>
      <c r="E347" s="413">
        <f>D347/'12 - Equity Statement'!$K$10</f>
        <v>478.55285616296317</v>
      </c>
      <c r="F347" s="92" t="s">
        <v>510</v>
      </c>
      <c r="G347" s="91" t="s">
        <v>108</v>
      </c>
      <c r="H347" s="355" t="s">
        <v>1071</v>
      </c>
      <c r="I347" s="91" t="s">
        <v>1110</v>
      </c>
      <c r="J347" s="92" t="s">
        <v>188</v>
      </c>
      <c r="K347" s="355" t="s">
        <v>32</v>
      </c>
    </row>
    <row r="348" spans="1:11">
      <c r="A348" s="219">
        <v>3528</v>
      </c>
      <c r="B348" s="106">
        <v>41362</v>
      </c>
      <c r="C348" s="92" t="s">
        <v>749</v>
      </c>
      <c r="D348" s="105">
        <v>8</v>
      </c>
      <c r="E348" s="413">
        <f>D348/'12 - Equity Statement'!$L$10</f>
        <v>1.2812505004884767</v>
      </c>
      <c r="F348" s="92" t="s">
        <v>750</v>
      </c>
      <c r="G348" s="91" t="s">
        <v>114</v>
      </c>
      <c r="H348" s="355" t="s">
        <v>1071</v>
      </c>
      <c r="I348" s="91" t="s">
        <v>1110</v>
      </c>
      <c r="J348" s="92" t="s">
        <v>101</v>
      </c>
      <c r="K348" s="356" t="s">
        <v>29</v>
      </c>
    </row>
    <row r="349" spans="1:11">
      <c r="A349" s="219">
        <v>3524</v>
      </c>
      <c r="B349" s="106">
        <v>41362</v>
      </c>
      <c r="C349" s="92" t="s">
        <v>1172</v>
      </c>
      <c r="D349" s="105">
        <v>12000</v>
      </c>
      <c r="E349" s="413">
        <f>D349/'12 - Equity Statement'!$K$10</f>
        <v>1914.2114246518527</v>
      </c>
      <c r="F349" s="92" t="s">
        <v>184</v>
      </c>
      <c r="G349" s="92" t="s">
        <v>111</v>
      </c>
      <c r="H349" s="356" t="s">
        <v>119</v>
      </c>
      <c r="I349" s="91" t="s">
        <v>1110</v>
      </c>
      <c r="J349" s="92" t="s">
        <v>101</v>
      </c>
      <c r="K349" s="355"/>
    </row>
    <row r="350" spans="1:11" ht="15">
      <c r="A350" s="219">
        <v>3530</v>
      </c>
      <c r="B350" s="106">
        <v>41365</v>
      </c>
      <c r="C350" s="92" t="s">
        <v>751</v>
      </c>
      <c r="D350" s="423"/>
      <c r="E350" s="413">
        <v>200</v>
      </c>
      <c r="F350" s="92" t="s">
        <v>185</v>
      </c>
      <c r="G350" s="92" t="s">
        <v>113</v>
      </c>
      <c r="H350" s="408" t="s">
        <v>123</v>
      </c>
      <c r="I350" s="91" t="s">
        <v>1110</v>
      </c>
      <c r="J350" s="92" t="s">
        <v>102</v>
      </c>
      <c r="K350" s="355"/>
    </row>
    <row r="351" spans="1:11" ht="15">
      <c r="A351" s="219">
        <v>3573</v>
      </c>
      <c r="B351" s="106">
        <v>41365</v>
      </c>
      <c r="C351" s="92" t="s">
        <v>753</v>
      </c>
      <c r="D351" s="423"/>
      <c r="E351" s="413">
        <v>1243.2</v>
      </c>
      <c r="F351" s="92" t="s">
        <v>754</v>
      </c>
      <c r="G351" s="91" t="s">
        <v>132</v>
      </c>
      <c r="H351" s="355" t="s">
        <v>1071</v>
      </c>
      <c r="I351" s="91" t="s">
        <v>1110</v>
      </c>
      <c r="J351" s="92" t="s">
        <v>102</v>
      </c>
      <c r="K351" s="356" t="s">
        <v>29</v>
      </c>
    </row>
    <row r="352" spans="1:11">
      <c r="A352" s="219">
        <v>3557</v>
      </c>
      <c r="B352" s="106">
        <v>41366</v>
      </c>
      <c r="C352" s="92" t="s">
        <v>449</v>
      </c>
      <c r="D352" s="105">
        <v>1018.08</v>
      </c>
      <c r="E352" s="413">
        <f>D352/'12 - Equity Statement'!$L$10</f>
        <v>163.05193869216356</v>
      </c>
      <c r="F352" s="92" t="s">
        <v>409</v>
      </c>
      <c r="G352" s="91" t="s">
        <v>52</v>
      </c>
      <c r="H352" s="356" t="s">
        <v>119</v>
      </c>
      <c r="I352" s="91" t="s">
        <v>1110</v>
      </c>
      <c r="J352" s="92" t="s">
        <v>292</v>
      </c>
      <c r="K352" s="355"/>
    </row>
    <row r="353" spans="1:11">
      <c r="A353" s="219">
        <v>3532</v>
      </c>
      <c r="B353" s="106">
        <v>41366</v>
      </c>
      <c r="C353" s="92" t="s">
        <v>610</v>
      </c>
      <c r="D353" s="105">
        <v>220</v>
      </c>
      <c r="E353" s="413">
        <f>D353/'12 - Equity Statement'!$L$10</f>
        <v>35.23438876343311</v>
      </c>
      <c r="F353" s="92" t="s">
        <v>403</v>
      </c>
      <c r="G353" s="91" t="s">
        <v>114</v>
      </c>
      <c r="H353" s="355" t="s">
        <v>1071</v>
      </c>
      <c r="I353" s="91" t="s">
        <v>1110</v>
      </c>
      <c r="J353" s="92" t="s">
        <v>188</v>
      </c>
      <c r="K353" s="356" t="s">
        <v>29</v>
      </c>
    </row>
    <row r="354" spans="1:11" ht="15">
      <c r="A354" s="219">
        <v>3574</v>
      </c>
      <c r="B354" s="106">
        <v>41366</v>
      </c>
      <c r="C354" s="92" t="s">
        <v>611</v>
      </c>
      <c r="D354" s="423"/>
      <c r="E354" s="413">
        <v>843.46</v>
      </c>
      <c r="F354" s="92" t="s">
        <v>612</v>
      </c>
      <c r="G354" s="92" t="s">
        <v>111</v>
      </c>
      <c r="H354" s="355" t="s">
        <v>118</v>
      </c>
      <c r="I354" s="91" t="s">
        <v>1110</v>
      </c>
      <c r="J354" s="92" t="s">
        <v>102</v>
      </c>
      <c r="K354" s="355" t="s">
        <v>26</v>
      </c>
    </row>
    <row r="355" spans="1:11" ht="15">
      <c r="A355" s="219">
        <v>3577</v>
      </c>
      <c r="B355" s="106">
        <v>41366</v>
      </c>
      <c r="C355" s="92" t="s">
        <v>739</v>
      </c>
      <c r="D355" s="423"/>
      <c r="E355" s="413">
        <v>34.72</v>
      </c>
      <c r="F355" s="92" t="s">
        <v>740</v>
      </c>
      <c r="G355" s="91" t="s">
        <v>132</v>
      </c>
      <c r="H355" s="355" t="s">
        <v>1071</v>
      </c>
      <c r="I355" s="91" t="s">
        <v>1110</v>
      </c>
      <c r="J355" s="92" t="s">
        <v>102</v>
      </c>
      <c r="K355" s="356" t="s">
        <v>29</v>
      </c>
    </row>
    <row r="356" spans="1:11" ht="15">
      <c r="A356" s="219">
        <v>3575</v>
      </c>
      <c r="B356" s="106">
        <v>41366</v>
      </c>
      <c r="C356" s="92" t="s">
        <v>613</v>
      </c>
      <c r="D356" s="423"/>
      <c r="E356" s="413">
        <v>7.95</v>
      </c>
      <c r="F356" s="92" t="s">
        <v>738</v>
      </c>
      <c r="G356" s="92" t="s">
        <v>106</v>
      </c>
      <c r="H356" s="355" t="s">
        <v>1071</v>
      </c>
      <c r="I356" s="91" t="s">
        <v>1110</v>
      </c>
      <c r="J356" s="92" t="s">
        <v>102</v>
      </c>
      <c r="K356" s="355" t="s">
        <v>34</v>
      </c>
    </row>
    <row r="357" spans="1:11" ht="15">
      <c r="A357" s="219">
        <v>3581</v>
      </c>
      <c r="B357" s="106">
        <v>41367</v>
      </c>
      <c r="C357" s="92" t="s">
        <v>741</v>
      </c>
      <c r="D357" s="423"/>
      <c r="E357" s="413">
        <v>40</v>
      </c>
      <c r="F357" s="92" t="s">
        <v>615</v>
      </c>
      <c r="G357" s="91" t="s">
        <v>132</v>
      </c>
      <c r="H357" s="355" t="s">
        <v>1071</v>
      </c>
      <c r="I357" s="91" t="s">
        <v>1110</v>
      </c>
      <c r="J357" s="92" t="s">
        <v>102</v>
      </c>
      <c r="K357" s="356" t="s">
        <v>39</v>
      </c>
    </row>
    <row r="358" spans="1:11" ht="15">
      <c r="A358" s="219">
        <v>3576</v>
      </c>
      <c r="B358" s="106">
        <v>41368</v>
      </c>
      <c r="C358" s="92" t="s">
        <v>519</v>
      </c>
      <c r="D358" s="423"/>
      <c r="E358" s="413">
        <v>28.85</v>
      </c>
      <c r="F358" s="92" t="s">
        <v>520</v>
      </c>
      <c r="G358" s="92" t="s">
        <v>106</v>
      </c>
      <c r="H358" s="355" t="s">
        <v>1071</v>
      </c>
      <c r="I358" s="91" t="s">
        <v>1110</v>
      </c>
      <c r="J358" s="92" t="s">
        <v>102</v>
      </c>
      <c r="K358" s="355" t="s">
        <v>34</v>
      </c>
    </row>
    <row r="359" spans="1:11" ht="15">
      <c r="A359" s="219">
        <v>3601</v>
      </c>
      <c r="B359" s="106">
        <v>41368</v>
      </c>
      <c r="C359" s="92" t="s">
        <v>450</v>
      </c>
      <c r="D359" s="423"/>
      <c r="E359" s="413">
        <v>30.42</v>
      </c>
      <c r="F359" s="92" t="s">
        <v>363</v>
      </c>
      <c r="G359" s="268" t="s">
        <v>1083</v>
      </c>
      <c r="H359" s="355" t="s">
        <v>1071</v>
      </c>
      <c r="I359" s="91" t="s">
        <v>1110</v>
      </c>
      <c r="J359" s="92" t="s">
        <v>290</v>
      </c>
      <c r="K359" s="355" t="s">
        <v>41</v>
      </c>
    </row>
    <row r="360" spans="1:11" ht="15">
      <c r="A360" s="219">
        <v>3578</v>
      </c>
      <c r="B360" s="106">
        <v>41369</v>
      </c>
      <c r="C360" s="92" t="s">
        <v>521</v>
      </c>
      <c r="D360" s="423"/>
      <c r="E360" s="413">
        <v>205.53</v>
      </c>
      <c r="F360" s="92" t="s">
        <v>522</v>
      </c>
      <c r="G360" s="91" t="s">
        <v>132</v>
      </c>
      <c r="H360" s="355" t="s">
        <v>1071</v>
      </c>
      <c r="I360" s="91" t="s">
        <v>1110</v>
      </c>
      <c r="J360" s="92" t="s">
        <v>102</v>
      </c>
      <c r="K360" s="356" t="s">
        <v>39</v>
      </c>
    </row>
    <row r="361" spans="1:11" ht="15">
      <c r="A361" s="219">
        <v>3579</v>
      </c>
      <c r="B361" s="106">
        <v>41370</v>
      </c>
      <c r="C361" s="92" t="s">
        <v>523</v>
      </c>
      <c r="D361" s="423"/>
      <c r="E361" s="413">
        <v>132.41999999999999</v>
      </c>
      <c r="F361" s="92" t="s">
        <v>524</v>
      </c>
      <c r="G361" s="91" t="s">
        <v>132</v>
      </c>
      <c r="H361" s="355" t="s">
        <v>1071</v>
      </c>
      <c r="I361" s="91" t="s">
        <v>1110</v>
      </c>
      <c r="J361" s="92" t="s">
        <v>102</v>
      </c>
      <c r="K361" s="356" t="s">
        <v>29</v>
      </c>
    </row>
    <row r="362" spans="1:11" ht="15">
      <c r="A362" s="219">
        <v>3580</v>
      </c>
      <c r="B362" s="106">
        <v>41372</v>
      </c>
      <c r="C362" s="92" t="s">
        <v>525</v>
      </c>
      <c r="D362" s="423"/>
      <c r="E362" s="413">
        <v>40</v>
      </c>
      <c r="F362" s="92" t="s">
        <v>526</v>
      </c>
      <c r="G362" s="91" t="s">
        <v>132</v>
      </c>
      <c r="H362" s="355" t="s">
        <v>1071</v>
      </c>
      <c r="I362" s="91" t="s">
        <v>1110</v>
      </c>
      <c r="J362" s="92" t="s">
        <v>102</v>
      </c>
      <c r="K362" s="355" t="s">
        <v>29</v>
      </c>
    </row>
    <row r="363" spans="1:11" ht="15">
      <c r="A363" s="219">
        <v>3583</v>
      </c>
      <c r="B363" s="106">
        <v>41372</v>
      </c>
      <c r="C363" s="92" t="s">
        <v>525</v>
      </c>
      <c r="D363" s="423"/>
      <c r="E363" s="413">
        <v>32.4</v>
      </c>
      <c r="F363" s="92" t="s">
        <v>518</v>
      </c>
      <c r="G363" s="91" t="s">
        <v>132</v>
      </c>
      <c r="H363" s="355" t="s">
        <v>1071</v>
      </c>
      <c r="I363" s="91" t="s">
        <v>1110</v>
      </c>
      <c r="J363" s="92" t="s">
        <v>102</v>
      </c>
      <c r="K363" s="355" t="s">
        <v>29</v>
      </c>
    </row>
    <row r="364" spans="1:11" ht="15">
      <c r="A364" s="219">
        <v>3582</v>
      </c>
      <c r="B364" s="106">
        <v>41372</v>
      </c>
      <c r="C364" s="92" t="s">
        <v>516</v>
      </c>
      <c r="D364" s="423"/>
      <c r="E364" s="413">
        <v>52.31</v>
      </c>
      <c r="F364" s="92" t="s">
        <v>517</v>
      </c>
      <c r="G364" s="92" t="s">
        <v>106</v>
      </c>
      <c r="H364" s="355" t="s">
        <v>1071</v>
      </c>
      <c r="I364" s="91" t="s">
        <v>1110</v>
      </c>
      <c r="J364" s="92" t="s">
        <v>102</v>
      </c>
      <c r="K364" s="355" t="s">
        <v>34</v>
      </c>
    </row>
    <row r="365" spans="1:11">
      <c r="A365" s="219">
        <v>3534</v>
      </c>
      <c r="B365" s="106">
        <v>41373</v>
      </c>
      <c r="C365" s="92" t="s">
        <v>180</v>
      </c>
      <c r="D365" s="105">
        <v>40</v>
      </c>
      <c r="E365" s="413">
        <f>D365/'12 - Equity Statement'!$L$10</f>
        <v>6.406252502442384</v>
      </c>
      <c r="F365" s="92" t="s">
        <v>403</v>
      </c>
      <c r="G365" s="91" t="s">
        <v>114</v>
      </c>
      <c r="H365" s="355" t="s">
        <v>1071</v>
      </c>
      <c r="I365" s="91" t="s">
        <v>1110</v>
      </c>
      <c r="J365" s="92" t="s">
        <v>188</v>
      </c>
      <c r="K365" s="356" t="s">
        <v>34</v>
      </c>
    </row>
    <row r="366" spans="1:11">
      <c r="A366" s="219">
        <v>3538</v>
      </c>
      <c r="B366" s="106">
        <v>41373</v>
      </c>
      <c r="C366" s="92" t="s">
        <v>417</v>
      </c>
      <c r="D366" s="105">
        <v>120</v>
      </c>
      <c r="E366" s="413">
        <f>D366/'12 - Equity Statement'!$L$10</f>
        <v>19.218757507327151</v>
      </c>
      <c r="F366" s="92" t="s">
        <v>403</v>
      </c>
      <c r="G366" s="91" t="s">
        <v>114</v>
      </c>
      <c r="H366" s="355" t="s">
        <v>1071</v>
      </c>
      <c r="I366" s="91" t="s">
        <v>1110</v>
      </c>
      <c r="J366" s="92" t="s">
        <v>188</v>
      </c>
      <c r="K366" s="356" t="s">
        <v>29</v>
      </c>
    </row>
    <row r="367" spans="1:11">
      <c r="A367" s="219">
        <v>3535</v>
      </c>
      <c r="B367" s="106">
        <v>41373</v>
      </c>
      <c r="C367" s="92" t="s">
        <v>425</v>
      </c>
      <c r="D367" s="105">
        <v>79</v>
      </c>
      <c r="E367" s="413">
        <f>D367/'12 - Equity Statement'!$L$10</f>
        <v>12.652348692323708</v>
      </c>
      <c r="F367" s="92" t="s">
        <v>403</v>
      </c>
      <c r="G367" s="268" t="s">
        <v>106</v>
      </c>
      <c r="H367" s="355" t="s">
        <v>1071</v>
      </c>
      <c r="I367" s="91" t="s">
        <v>1110</v>
      </c>
      <c r="J367" s="92" t="s">
        <v>188</v>
      </c>
      <c r="K367" s="355" t="s">
        <v>34</v>
      </c>
    </row>
    <row r="368" spans="1:11">
      <c r="A368" s="219">
        <v>3533</v>
      </c>
      <c r="B368" s="106">
        <v>41373</v>
      </c>
      <c r="C368" s="92" t="s">
        <v>424</v>
      </c>
      <c r="D368" s="105">
        <v>85</v>
      </c>
      <c r="E368" s="413">
        <f>D368/'12 - Equity Statement'!$L$10</f>
        <v>13.613286567690066</v>
      </c>
      <c r="F368" s="92" t="s">
        <v>403</v>
      </c>
      <c r="G368" s="268" t="s">
        <v>106</v>
      </c>
      <c r="H368" s="355" t="s">
        <v>1071</v>
      </c>
      <c r="I368" s="91" t="s">
        <v>1110</v>
      </c>
      <c r="J368" s="92" t="s">
        <v>188</v>
      </c>
      <c r="K368" s="355" t="s">
        <v>34</v>
      </c>
    </row>
    <row r="369" spans="1:11">
      <c r="A369" s="219">
        <v>3537</v>
      </c>
      <c r="B369" s="106">
        <v>41374</v>
      </c>
      <c r="C369" s="92" t="s">
        <v>430</v>
      </c>
      <c r="D369" s="105">
        <v>200</v>
      </c>
      <c r="E369" s="413">
        <f>D369/'12 - Equity Statement'!$L$10</f>
        <v>32.031262512211917</v>
      </c>
      <c r="F369" s="92" t="s">
        <v>264</v>
      </c>
      <c r="G369" s="91" t="s">
        <v>114</v>
      </c>
      <c r="H369" s="355" t="s">
        <v>118</v>
      </c>
      <c r="I369" s="91" t="s">
        <v>1110</v>
      </c>
      <c r="J369" s="92" t="s">
        <v>188</v>
      </c>
      <c r="K369" s="355" t="s">
        <v>23</v>
      </c>
    </row>
    <row r="370" spans="1:11">
      <c r="A370" s="219">
        <v>3542</v>
      </c>
      <c r="B370" s="106">
        <v>41374</v>
      </c>
      <c r="C370" s="92" t="s">
        <v>180</v>
      </c>
      <c r="D370" s="105">
        <v>75</v>
      </c>
      <c r="E370" s="413">
        <f>D370/'12 - Equity Statement'!$L$10</f>
        <v>12.01172344207947</v>
      </c>
      <c r="F370" s="92" t="s">
        <v>403</v>
      </c>
      <c r="G370" s="91" t="s">
        <v>114</v>
      </c>
      <c r="H370" s="355" t="s">
        <v>1071</v>
      </c>
      <c r="I370" s="91" t="s">
        <v>1110</v>
      </c>
      <c r="J370" s="92" t="s">
        <v>188</v>
      </c>
      <c r="K370" s="356" t="s">
        <v>34</v>
      </c>
    </row>
    <row r="371" spans="1:11">
      <c r="A371" s="219">
        <v>3552</v>
      </c>
      <c r="B371" s="106">
        <v>41374</v>
      </c>
      <c r="C371" s="92" t="s">
        <v>453</v>
      </c>
      <c r="D371" s="105">
        <v>178.6</v>
      </c>
      <c r="E371" s="413">
        <f>D371/'12 - Equity Statement'!$L$10</f>
        <v>28.603917423405242</v>
      </c>
      <c r="F371" s="92" t="s">
        <v>302</v>
      </c>
      <c r="G371" s="91" t="s">
        <v>114</v>
      </c>
      <c r="H371" s="355" t="s">
        <v>1071</v>
      </c>
      <c r="I371" s="91" t="s">
        <v>1110</v>
      </c>
      <c r="J371" s="92" t="s">
        <v>101</v>
      </c>
      <c r="K371" s="356" t="s">
        <v>29</v>
      </c>
    </row>
    <row r="372" spans="1:11">
      <c r="A372" s="219">
        <v>3550</v>
      </c>
      <c r="B372" s="106">
        <v>41374</v>
      </c>
      <c r="C372" s="92" t="s">
        <v>451</v>
      </c>
      <c r="D372" s="105">
        <v>4000</v>
      </c>
      <c r="E372" s="413">
        <f>D372/'12 - Equity Statement'!$L$10</f>
        <v>640.62525024423837</v>
      </c>
      <c r="F372" s="92" t="s">
        <v>331</v>
      </c>
      <c r="G372" s="92" t="s">
        <v>113</v>
      </c>
      <c r="H372" s="355" t="s">
        <v>1071</v>
      </c>
      <c r="I372" s="91" t="s">
        <v>1110</v>
      </c>
      <c r="J372" s="92" t="s">
        <v>101</v>
      </c>
      <c r="K372" s="356" t="s">
        <v>34</v>
      </c>
    </row>
    <row r="373" spans="1:11">
      <c r="A373" s="219">
        <v>3551</v>
      </c>
      <c r="B373" s="106">
        <v>41374</v>
      </c>
      <c r="C373" s="92" t="s">
        <v>452</v>
      </c>
      <c r="D373" s="105">
        <v>28</v>
      </c>
      <c r="E373" s="413">
        <f>D373/'12 - Equity Statement'!$L$10</f>
        <v>4.4843767517096689</v>
      </c>
      <c r="F373" s="92" t="s">
        <v>354</v>
      </c>
      <c r="G373" s="92" t="s">
        <v>113</v>
      </c>
      <c r="H373" s="355" t="s">
        <v>1071</v>
      </c>
      <c r="I373" s="91" t="s">
        <v>1110</v>
      </c>
      <c r="J373" s="92" t="s">
        <v>101</v>
      </c>
      <c r="K373" s="356" t="s">
        <v>34</v>
      </c>
    </row>
    <row r="374" spans="1:11">
      <c r="A374" s="219">
        <v>3540</v>
      </c>
      <c r="B374" s="106">
        <v>41374</v>
      </c>
      <c r="C374" s="92" t="s">
        <v>432</v>
      </c>
      <c r="D374" s="105">
        <v>10</v>
      </c>
      <c r="E374" s="413">
        <f>D374/'12 - Equity Statement'!$L$10</f>
        <v>1.601563125610596</v>
      </c>
      <c r="F374" s="92" t="s">
        <v>510</v>
      </c>
      <c r="G374" s="91" t="s">
        <v>132</v>
      </c>
      <c r="H374" s="355" t="s">
        <v>1071</v>
      </c>
      <c r="I374" s="91" t="s">
        <v>1110</v>
      </c>
      <c r="J374" s="92" t="s">
        <v>188</v>
      </c>
      <c r="K374" s="356" t="s">
        <v>34</v>
      </c>
    </row>
    <row r="375" spans="1:11">
      <c r="A375" s="219">
        <v>3541</v>
      </c>
      <c r="B375" s="106">
        <v>41374</v>
      </c>
      <c r="C375" s="92" t="s">
        <v>433</v>
      </c>
      <c r="D375" s="105">
        <v>30</v>
      </c>
      <c r="E375" s="413">
        <f>D375/'12 - Equity Statement'!$L$10</f>
        <v>4.8046893768317878</v>
      </c>
      <c r="F375" s="92" t="s">
        <v>403</v>
      </c>
      <c r="G375" s="268" t="s">
        <v>106</v>
      </c>
      <c r="H375" s="355" t="s">
        <v>1071</v>
      </c>
      <c r="I375" s="91" t="s">
        <v>1110</v>
      </c>
      <c r="J375" s="92" t="s">
        <v>188</v>
      </c>
      <c r="K375" s="355" t="s">
        <v>34</v>
      </c>
    </row>
    <row r="376" spans="1:11">
      <c r="A376" s="219">
        <v>3544</v>
      </c>
      <c r="B376" s="106">
        <v>41375</v>
      </c>
      <c r="C376" s="92" t="s">
        <v>436</v>
      </c>
      <c r="D376" s="105">
        <v>40</v>
      </c>
      <c r="E376" s="413">
        <f>D376/'12 - Equity Statement'!$L$10</f>
        <v>6.406252502442384</v>
      </c>
      <c r="F376" s="92" t="s">
        <v>403</v>
      </c>
      <c r="G376" s="92" t="s">
        <v>106</v>
      </c>
      <c r="H376" s="356" t="s">
        <v>119</v>
      </c>
      <c r="I376" s="91" t="s">
        <v>1110</v>
      </c>
      <c r="J376" s="92" t="s">
        <v>188</v>
      </c>
      <c r="K376" s="355"/>
    </row>
    <row r="377" spans="1:11">
      <c r="A377" s="219">
        <v>3543</v>
      </c>
      <c r="B377" s="106">
        <v>41375</v>
      </c>
      <c r="C377" s="92" t="s">
        <v>435</v>
      </c>
      <c r="D377" s="105">
        <v>50</v>
      </c>
      <c r="E377" s="413">
        <f>D377/'12 - Equity Statement'!$L$10</f>
        <v>8.0078156280529793</v>
      </c>
      <c r="F377" s="92" t="s">
        <v>403</v>
      </c>
      <c r="G377" s="92" t="s">
        <v>106</v>
      </c>
      <c r="H377" s="356" t="s">
        <v>119</v>
      </c>
      <c r="I377" s="91" t="s">
        <v>1110</v>
      </c>
      <c r="J377" s="92" t="s">
        <v>188</v>
      </c>
      <c r="K377" s="355"/>
    </row>
    <row r="378" spans="1:11">
      <c r="A378" s="219">
        <v>3545</v>
      </c>
      <c r="B378" s="106">
        <v>41375</v>
      </c>
      <c r="C378" s="92" t="s">
        <v>543</v>
      </c>
      <c r="D378" s="105">
        <v>50</v>
      </c>
      <c r="E378" s="413">
        <f>D378/'12 - Equity Statement'!$L$10</f>
        <v>8.0078156280529793</v>
      </c>
      <c r="F378" s="92" t="s">
        <v>403</v>
      </c>
      <c r="G378" s="92" t="s">
        <v>106</v>
      </c>
      <c r="H378" s="356" t="s">
        <v>119</v>
      </c>
      <c r="I378" s="91" t="s">
        <v>1110</v>
      </c>
      <c r="J378" s="92" t="s">
        <v>188</v>
      </c>
      <c r="K378" s="355"/>
    </row>
    <row r="379" spans="1:11">
      <c r="A379" s="219">
        <v>3555</v>
      </c>
      <c r="B379" s="106">
        <v>41376</v>
      </c>
      <c r="C379" s="92" t="s">
        <v>180</v>
      </c>
      <c r="D379" s="105">
        <v>75</v>
      </c>
      <c r="E379" s="413">
        <f>D379/'12 - Equity Statement'!$L$10</f>
        <v>12.01172344207947</v>
      </c>
      <c r="F379" s="92" t="s">
        <v>403</v>
      </c>
      <c r="G379" s="91" t="s">
        <v>114</v>
      </c>
      <c r="H379" s="356" t="s">
        <v>119</v>
      </c>
      <c r="I379" s="91" t="s">
        <v>1110</v>
      </c>
      <c r="J379" s="92" t="s">
        <v>188</v>
      </c>
      <c r="K379" s="355"/>
    </row>
    <row r="380" spans="1:11">
      <c r="A380" s="219">
        <v>3553</v>
      </c>
      <c r="B380" s="106">
        <v>41376</v>
      </c>
      <c r="C380" s="92" t="s">
        <v>546</v>
      </c>
      <c r="D380" s="105">
        <v>25</v>
      </c>
      <c r="E380" s="413">
        <f>D380/'12 - Equity Statement'!$L$10</f>
        <v>4.0039078140264897</v>
      </c>
      <c r="F380" s="92" t="s">
        <v>510</v>
      </c>
      <c r="G380" s="91" t="s">
        <v>132</v>
      </c>
      <c r="H380" s="355" t="s">
        <v>1071</v>
      </c>
      <c r="I380" s="91" t="s">
        <v>1110</v>
      </c>
      <c r="J380" s="92" t="s">
        <v>188</v>
      </c>
      <c r="K380" s="356" t="s">
        <v>29</v>
      </c>
    </row>
    <row r="381" spans="1:11" ht="15">
      <c r="A381" s="219">
        <v>3584</v>
      </c>
      <c r="B381" s="106">
        <v>41376</v>
      </c>
      <c r="C381" s="92" t="s">
        <v>635</v>
      </c>
      <c r="D381" s="423"/>
      <c r="E381" s="413">
        <v>24.2</v>
      </c>
      <c r="F381" s="92" t="s">
        <v>636</v>
      </c>
      <c r="G381" s="92" t="s">
        <v>106</v>
      </c>
      <c r="H381" s="355" t="s">
        <v>1071</v>
      </c>
      <c r="I381" s="91" t="s">
        <v>1110</v>
      </c>
      <c r="J381" s="92" t="s">
        <v>102</v>
      </c>
      <c r="K381" s="355" t="s">
        <v>34</v>
      </c>
    </row>
    <row r="382" spans="1:11">
      <c r="A382" s="219">
        <v>3600</v>
      </c>
      <c r="B382" s="106">
        <v>41377</v>
      </c>
      <c r="C382" s="92" t="s">
        <v>328</v>
      </c>
      <c r="D382" s="105">
        <v>4000</v>
      </c>
      <c r="E382" s="413">
        <f>D382/'12 - Equity Statement'!$L$10</f>
        <v>640.62525024423837</v>
      </c>
      <c r="F382" s="92" t="s">
        <v>637</v>
      </c>
      <c r="G382" s="92" t="s">
        <v>111</v>
      </c>
      <c r="H382" s="356" t="s">
        <v>119</v>
      </c>
      <c r="I382" s="91" t="s">
        <v>1110</v>
      </c>
      <c r="J382" s="92" t="s">
        <v>101</v>
      </c>
      <c r="K382" s="355"/>
    </row>
    <row r="383" spans="1:11">
      <c r="A383" s="219">
        <v>3599</v>
      </c>
      <c r="B383" s="106">
        <v>41377</v>
      </c>
      <c r="C383" s="92" t="s">
        <v>455</v>
      </c>
      <c r="D383" s="105">
        <v>4380</v>
      </c>
      <c r="E383" s="413">
        <f>D383/'12 - Equity Statement'!$L$10</f>
        <v>701.48464901744103</v>
      </c>
      <c r="F383" s="92" t="s">
        <v>637</v>
      </c>
      <c r="G383" s="92" t="s">
        <v>111</v>
      </c>
      <c r="H383" s="356" t="s">
        <v>119</v>
      </c>
      <c r="I383" s="91" t="s">
        <v>1110</v>
      </c>
      <c r="J383" s="92" t="s">
        <v>101</v>
      </c>
      <c r="K383" s="355"/>
    </row>
    <row r="384" spans="1:11">
      <c r="A384" s="219">
        <v>3564</v>
      </c>
      <c r="B384" s="106">
        <v>41379</v>
      </c>
      <c r="C384" s="92" t="s">
        <v>639</v>
      </c>
      <c r="D384" s="105">
        <v>170</v>
      </c>
      <c r="E384" s="413">
        <f>D384/'12 - Equity Statement'!$L$10</f>
        <v>27.226573135380132</v>
      </c>
      <c r="F384" s="92" t="s">
        <v>778</v>
      </c>
      <c r="G384" s="92" t="s">
        <v>106</v>
      </c>
      <c r="H384" s="355" t="s">
        <v>1071</v>
      </c>
      <c r="I384" s="91" t="s">
        <v>1110</v>
      </c>
      <c r="J384" s="92" t="s">
        <v>188</v>
      </c>
      <c r="K384" s="355" t="s">
        <v>34</v>
      </c>
    </row>
    <row r="385" spans="1:13">
      <c r="A385" s="219">
        <v>3563</v>
      </c>
      <c r="B385" s="106">
        <v>41381</v>
      </c>
      <c r="C385" s="92" t="s">
        <v>180</v>
      </c>
      <c r="D385" s="105">
        <v>50</v>
      </c>
      <c r="E385" s="413">
        <f>D385/'12 - Equity Statement'!$L$10</f>
        <v>8.0078156280529793</v>
      </c>
      <c r="F385" s="92" t="s">
        <v>403</v>
      </c>
      <c r="G385" s="91" t="s">
        <v>114</v>
      </c>
      <c r="H385" s="355" t="s">
        <v>1071</v>
      </c>
      <c r="I385" s="91" t="s">
        <v>1110</v>
      </c>
      <c r="J385" s="92" t="s">
        <v>188</v>
      </c>
      <c r="K385" s="356" t="s">
        <v>34</v>
      </c>
    </row>
    <row r="386" spans="1:13">
      <c r="A386" s="219">
        <v>3566</v>
      </c>
      <c r="B386" s="106">
        <v>41382</v>
      </c>
      <c r="C386" s="92" t="s">
        <v>735</v>
      </c>
      <c r="D386" s="105">
        <v>70</v>
      </c>
      <c r="E386" s="413">
        <f>D386/'12 - Equity Statement'!$L$10</f>
        <v>11.210941879274172</v>
      </c>
      <c r="F386" s="92" t="s">
        <v>510</v>
      </c>
      <c r="G386" s="91" t="s">
        <v>132</v>
      </c>
      <c r="H386" s="355" t="s">
        <v>1071</v>
      </c>
      <c r="I386" s="91" t="s">
        <v>1110</v>
      </c>
      <c r="J386" s="92" t="s">
        <v>188</v>
      </c>
      <c r="K386" s="356" t="s">
        <v>29</v>
      </c>
    </row>
    <row r="387" spans="1:13">
      <c r="A387" s="219">
        <v>3570</v>
      </c>
      <c r="B387" s="106">
        <v>41386</v>
      </c>
      <c r="C387" s="92" t="s">
        <v>673</v>
      </c>
      <c r="D387" s="105">
        <v>53</v>
      </c>
      <c r="E387" s="413">
        <f>D387/'12 - Equity Statement'!$L$10</f>
        <v>8.4882845657361585</v>
      </c>
      <c r="F387" s="92" t="s">
        <v>403</v>
      </c>
      <c r="G387" s="91" t="s">
        <v>114</v>
      </c>
      <c r="H387" s="355" t="s">
        <v>1071</v>
      </c>
      <c r="I387" s="91" t="s">
        <v>1110</v>
      </c>
      <c r="J387" s="92" t="s">
        <v>188</v>
      </c>
      <c r="K387" s="356" t="s">
        <v>29</v>
      </c>
    </row>
    <row r="388" spans="1:13">
      <c r="A388" s="219">
        <v>3569</v>
      </c>
      <c r="B388" s="106">
        <v>41386</v>
      </c>
      <c r="C388" s="92" t="s">
        <v>672</v>
      </c>
      <c r="D388" s="105">
        <v>75</v>
      </c>
      <c r="E388" s="413">
        <f>D388/'12 - Equity Statement'!$L$10</f>
        <v>12.01172344207947</v>
      </c>
      <c r="F388" s="92" t="s">
        <v>403</v>
      </c>
      <c r="G388" s="91" t="s">
        <v>114</v>
      </c>
      <c r="H388" s="355" t="s">
        <v>1071</v>
      </c>
      <c r="I388" s="91" t="s">
        <v>1110</v>
      </c>
      <c r="J388" s="92" t="s">
        <v>188</v>
      </c>
      <c r="K388" s="356" t="s">
        <v>29</v>
      </c>
    </row>
    <row r="389" spans="1:13" ht="15">
      <c r="A389" s="219">
        <v>3586</v>
      </c>
      <c r="B389" s="106">
        <v>41387</v>
      </c>
      <c r="C389" s="92" t="s">
        <v>674</v>
      </c>
      <c r="D389" s="423"/>
      <c r="E389" s="413">
        <v>25</v>
      </c>
      <c r="F389" s="92" t="s">
        <v>675</v>
      </c>
      <c r="G389" s="91" t="s">
        <v>114</v>
      </c>
      <c r="H389" s="355" t="s">
        <v>1071</v>
      </c>
      <c r="I389" s="91" t="s">
        <v>1110</v>
      </c>
      <c r="J389" s="92" t="s">
        <v>102</v>
      </c>
      <c r="K389" s="356" t="s">
        <v>29</v>
      </c>
    </row>
    <row r="390" spans="1:13">
      <c r="A390" s="219">
        <v>3587</v>
      </c>
      <c r="B390" s="106">
        <v>41390</v>
      </c>
      <c r="C390" s="92" t="s">
        <v>180</v>
      </c>
      <c r="D390" s="105">
        <v>50</v>
      </c>
      <c r="E390" s="413">
        <f>D390/'12 - Equity Statement'!$L$10</f>
        <v>8.0078156280529793</v>
      </c>
      <c r="F390" s="92" t="s">
        <v>403</v>
      </c>
      <c r="G390" s="91" t="s">
        <v>114</v>
      </c>
      <c r="H390" s="355" t="s">
        <v>1071</v>
      </c>
      <c r="I390" s="91" t="s">
        <v>1110</v>
      </c>
      <c r="J390" s="92" t="s">
        <v>188</v>
      </c>
      <c r="K390" s="356" t="s">
        <v>34</v>
      </c>
    </row>
    <row r="391" spans="1:13">
      <c r="A391" s="219">
        <v>3590</v>
      </c>
      <c r="B391" s="106">
        <v>41392</v>
      </c>
      <c r="C391" s="92" t="s">
        <v>679</v>
      </c>
      <c r="D391" s="105">
        <v>5500</v>
      </c>
      <c r="E391" s="413">
        <f>D391/'12 - Equity Statement'!$L$10</f>
        <v>880.85971908582781</v>
      </c>
      <c r="F391" s="92" t="s">
        <v>509</v>
      </c>
      <c r="G391" s="91" t="s">
        <v>108</v>
      </c>
      <c r="H391" s="355" t="s">
        <v>1071</v>
      </c>
      <c r="I391" s="91" t="s">
        <v>1110</v>
      </c>
      <c r="J391" s="92" t="s">
        <v>188</v>
      </c>
      <c r="K391" s="355" t="s">
        <v>32</v>
      </c>
      <c r="L391" s="416">
        <f>SUM(E391:E535)</f>
        <v>89067.041084284734</v>
      </c>
      <c r="M391" s="218">
        <f>166000-L391</f>
        <v>76932.958915715266</v>
      </c>
    </row>
    <row r="392" spans="1:13">
      <c r="A392" s="219">
        <v>3598</v>
      </c>
      <c r="B392" s="106">
        <v>41392</v>
      </c>
      <c r="C392" s="92" t="s">
        <v>1116</v>
      </c>
      <c r="D392" s="105">
        <v>13000</v>
      </c>
      <c r="E392" s="413">
        <f>D392/'12 - Equity Statement'!$L$10</f>
        <v>2082.0320632937746</v>
      </c>
      <c r="F392" s="92" t="s">
        <v>304</v>
      </c>
      <c r="G392" s="91" t="s">
        <v>108</v>
      </c>
      <c r="H392" s="355" t="s">
        <v>1071</v>
      </c>
      <c r="I392" s="91" t="s">
        <v>1110</v>
      </c>
      <c r="J392" s="92" t="s">
        <v>188</v>
      </c>
      <c r="K392" s="356" t="s">
        <v>30</v>
      </c>
    </row>
    <row r="393" spans="1:13">
      <c r="A393" s="219">
        <v>3593</v>
      </c>
      <c r="B393" s="106">
        <v>41392</v>
      </c>
      <c r="C393" s="92" t="s">
        <v>1128</v>
      </c>
      <c r="D393" s="105">
        <v>6000</v>
      </c>
      <c r="E393" s="413">
        <f>D393/'12 - Equity Statement'!$L$10</f>
        <v>960.93787536635762</v>
      </c>
      <c r="F393" s="92" t="s">
        <v>404</v>
      </c>
      <c r="G393" s="91" t="s">
        <v>108</v>
      </c>
      <c r="H393" s="355" t="s">
        <v>1071</v>
      </c>
      <c r="I393" s="91" t="s">
        <v>1110</v>
      </c>
      <c r="J393" s="92" t="s">
        <v>188</v>
      </c>
      <c r="K393" s="355" t="s">
        <v>37</v>
      </c>
    </row>
    <row r="394" spans="1:13">
      <c r="A394" s="219">
        <v>3592</v>
      </c>
      <c r="B394" s="106">
        <v>41392</v>
      </c>
      <c r="C394" s="92" t="s">
        <v>572</v>
      </c>
      <c r="D394" s="105">
        <v>3000</v>
      </c>
      <c r="E394" s="413">
        <f>D394/'12 - Equity Statement'!$L$10</f>
        <v>480.46893768317881</v>
      </c>
      <c r="F394" s="92" t="s">
        <v>510</v>
      </c>
      <c r="G394" s="91" t="s">
        <v>108</v>
      </c>
      <c r="H394" s="355" t="s">
        <v>1071</v>
      </c>
      <c r="I394" s="91" t="s">
        <v>1110</v>
      </c>
      <c r="J394" s="92" t="s">
        <v>188</v>
      </c>
      <c r="K394" s="355" t="s">
        <v>32</v>
      </c>
    </row>
    <row r="395" spans="1:13">
      <c r="A395" s="219">
        <v>3597</v>
      </c>
      <c r="B395" s="106">
        <v>41392</v>
      </c>
      <c r="C395" s="92" t="s">
        <v>1142</v>
      </c>
      <c r="D395" s="105">
        <v>4500</v>
      </c>
      <c r="E395" s="413">
        <f>D395/'12 - Equity Statement'!$L$10</f>
        <v>720.70340652476818</v>
      </c>
      <c r="F395" s="92" t="s">
        <v>183</v>
      </c>
      <c r="G395" s="92" t="s">
        <v>111</v>
      </c>
      <c r="H395" s="356" t="s">
        <v>119</v>
      </c>
      <c r="I395" s="91" t="s">
        <v>1110</v>
      </c>
      <c r="J395" s="92" t="s">
        <v>101</v>
      </c>
      <c r="K395" s="355"/>
    </row>
    <row r="396" spans="1:13">
      <c r="A396" s="219">
        <v>3596</v>
      </c>
      <c r="B396" s="106">
        <v>41392</v>
      </c>
      <c r="C396" s="92" t="s">
        <v>1152</v>
      </c>
      <c r="D396" s="105">
        <v>4500</v>
      </c>
      <c r="E396" s="413">
        <f>D396/'12 - Equity Statement'!$L$10</f>
        <v>720.70340652476818</v>
      </c>
      <c r="F396" s="92" t="s">
        <v>182</v>
      </c>
      <c r="G396" s="92" t="s">
        <v>111</v>
      </c>
      <c r="H396" s="356" t="s">
        <v>119</v>
      </c>
      <c r="I396" s="91" t="s">
        <v>1110</v>
      </c>
      <c r="J396" s="92" t="s">
        <v>101</v>
      </c>
      <c r="K396" s="355"/>
    </row>
    <row r="397" spans="1:13">
      <c r="A397" s="219">
        <v>3594</v>
      </c>
      <c r="B397" s="106">
        <v>41392</v>
      </c>
      <c r="C397" s="92" t="s">
        <v>1165</v>
      </c>
      <c r="D397" s="105">
        <v>12000</v>
      </c>
      <c r="E397" s="413">
        <f>D397/'12 - Equity Statement'!$L$10</f>
        <v>1921.8757507327152</v>
      </c>
      <c r="F397" s="92" t="s">
        <v>184</v>
      </c>
      <c r="G397" s="92" t="s">
        <v>111</v>
      </c>
      <c r="H397" s="356" t="s">
        <v>119</v>
      </c>
      <c r="I397" s="91" t="s">
        <v>1110</v>
      </c>
      <c r="J397" s="92" t="s">
        <v>101</v>
      </c>
      <c r="K397" s="355"/>
    </row>
    <row r="398" spans="1:13">
      <c r="A398" s="219">
        <v>3595</v>
      </c>
      <c r="B398" s="106">
        <v>41392</v>
      </c>
      <c r="C398" s="92" t="s">
        <v>1177</v>
      </c>
      <c r="D398" s="105">
        <v>4182</v>
      </c>
      <c r="E398" s="413">
        <f>D398/'12 - Equity Statement'!$L$10</f>
        <v>669.77369913035125</v>
      </c>
      <c r="F398" s="92" t="s">
        <v>573</v>
      </c>
      <c r="G398" s="92" t="s">
        <v>111</v>
      </c>
      <c r="H398" s="355" t="s">
        <v>1071</v>
      </c>
      <c r="I398" s="91" t="s">
        <v>1110</v>
      </c>
      <c r="J398" s="92" t="s">
        <v>188</v>
      </c>
      <c r="K398" s="356" t="s">
        <v>29</v>
      </c>
    </row>
    <row r="399" spans="1:13" ht="15">
      <c r="A399" s="219">
        <v>3602</v>
      </c>
      <c r="B399" s="106">
        <v>41394</v>
      </c>
      <c r="C399" s="92" t="s">
        <v>189</v>
      </c>
      <c r="D399" s="423"/>
      <c r="E399" s="413">
        <v>10000</v>
      </c>
      <c r="F399" s="92" t="s">
        <v>477</v>
      </c>
      <c r="G399" s="92" t="s">
        <v>108</v>
      </c>
      <c r="H399" s="355" t="s">
        <v>1071</v>
      </c>
      <c r="I399" s="91" t="s">
        <v>1110</v>
      </c>
      <c r="J399" s="92" t="s">
        <v>290</v>
      </c>
      <c r="K399" s="355" t="s">
        <v>30</v>
      </c>
    </row>
    <row r="400" spans="1:13" ht="15">
      <c r="A400" s="219">
        <v>3624</v>
      </c>
      <c r="B400" s="106">
        <v>41395</v>
      </c>
      <c r="C400" s="92" t="s">
        <v>574</v>
      </c>
      <c r="D400" s="423"/>
      <c r="E400" s="413">
        <v>200</v>
      </c>
      <c r="F400" s="92" t="s">
        <v>185</v>
      </c>
      <c r="G400" s="92" t="s">
        <v>113</v>
      </c>
      <c r="H400" s="408" t="s">
        <v>123</v>
      </c>
      <c r="I400" s="91" t="s">
        <v>1110</v>
      </c>
      <c r="J400" s="92" t="s">
        <v>290</v>
      </c>
      <c r="K400" s="355"/>
    </row>
    <row r="401" spans="1:14">
      <c r="A401" s="219">
        <v>3643</v>
      </c>
      <c r="B401" s="106">
        <v>41400</v>
      </c>
      <c r="C401" s="92" t="s">
        <v>468</v>
      </c>
      <c r="D401" s="105">
        <v>900</v>
      </c>
      <c r="E401" s="413">
        <f>D401/'12 - Equity Statement'!$M$10</f>
        <v>147.09247213414835</v>
      </c>
      <c r="F401" s="92" t="s">
        <v>469</v>
      </c>
      <c r="G401" s="92" t="s">
        <v>108</v>
      </c>
      <c r="H401" s="355" t="s">
        <v>1071</v>
      </c>
      <c r="I401" s="91" t="s">
        <v>1110</v>
      </c>
      <c r="J401" s="92" t="s">
        <v>101</v>
      </c>
      <c r="K401" s="356" t="s">
        <v>29</v>
      </c>
    </row>
    <row r="402" spans="1:14">
      <c r="A402" s="219">
        <v>3604</v>
      </c>
      <c r="B402" s="106">
        <v>41407</v>
      </c>
      <c r="C402" s="92" t="s">
        <v>180</v>
      </c>
      <c r="D402" s="105">
        <v>50</v>
      </c>
      <c r="E402" s="413">
        <f>D402/'12 - Equity Statement'!$M$10</f>
        <v>8.1718040074526854</v>
      </c>
      <c r="F402" s="92" t="s">
        <v>403</v>
      </c>
      <c r="G402" s="91" t="s">
        <v>114</v>
      </c>
      <c r="H402" s="355" t="s">
        <v>1071</v>
      </c>
      <c r="I402" s="91" t="s">
        <v>1110</v>
      </c>
      <c r="J402" s="92" t="s">
        <v>188</v>
      </c>
      <c r="K402" s="356" t="s">
        <v>34</v>
      </c>
    </row>
    <row r="403" spans="1:14">
      <c r="A403" s="219">
        <v>3605</v>
      </c>
      <c r="B403" s="106">
        <v>41408</v>
      </c>
      <c r="C403" s="92" t="s">
        <v>476</v>
      </c>
      <c r="D403" s="105">
        <v>35</v>
      </c>
      <c r="E403" s="413">
        <f>D403/'12 - Equity Statement'!$M$10</f>
        <v>5.7202628052168798</v>
      </c>
      <c r="F403" s="92" t="s">
        <v>403</v>
      </c>
      <c r="G403" s="91" t="s">
        <v>114</v>
      </c>
      <c r="H403" s="355" t="s">
        <v>1071</v>
      </c>
      <c r="I403" s="91" t="s">
        <v>1110</v>
      </c>
      <c r="J403" s="92" t="s">
        <v>188</v>
      </c>
      <c r="K403" s="356" t="s">
        <v>29</v>
      </c>
    </row>
    <row r="404" spans="1:14" ht="15">
      <c r="A404" s="219">
        <v>3666</v>
      </c>
      <c r="B404" s="106">
        <v>41408</v>
      </c>
      <c r="C404" s="92" t="s">
        <v>579</v>
      </c>
      <c r="D404" s="423"/>
      <c r="E404" s="413">
        <v>35</v>
      </c>
      <c r="F404" s="92" t="s">
        <v>363</v>
      </c>
      <c r="G404" s="268" t="s">
        <v>1083</v>
      </c>
      <c r="H404" s="355" t="s">
        <v>1071</v>
      </c>
      <c r="I404" s="91" t="s">
        <v>1110</v>
      </c>
      <c r="J404" s="92" t="s">
        <v>290</v>
      </c>
      <c r="K404" s="356" t="s">
        <v>29</v>
      </c>
    </row>
    <row r="405" spans="1:14" ht="15">
      <c r="A405" s="219">
        <v>3668</v>
      </c>
      <c r="B405" s="106">
        <v>41411</v>
      </c>
      <c r="C405" s="92" t="s">
        <v>392</v>
      </c>
      <c r="D405" s="423"/>
      <c r="E405" s="413">
        <v>1521.2</v>
      </c>
      <c r="F405" s="92" t="s">
        <v>754</v>
      </c>
      <c r="G405" s="91" t="s">
        <v>132</v>
      </c>
      <c r="H405" s="355" t="s">
        <v>1071</v>
      </c>
      <c r="I405" s="91" t="s">
        <v>1110</v>
      </c>
      <c r="J405" s="92" t="s">
        <v>102</v>
      </c>
      <c r="K405" s="356" t="s">
        <v>39</v>
      </c>
    </row>
    <row r="406" spans="1:14" ht="15">
      <c r="A406" s="219">
        <v>3668</v>
      </c>
      <c r="B406" s="106">
        <v>41411</v>
      </c>
      <c r="C406" s="92" t="s">
        <v>843</v>
      </c>
      <c r="D406" s="423"/>
      <c r="E406" s="413">
        <v>156.08000000000001</v>
      </c>
      <c r="F406" s="92" t="s">
        <v>754</v>
      </c>
      <c r="G406" s="91" t="s">
        <v>132</v>
      </c>
      <c r="H406" s="355" t="s">
        <v>1071</v>
      </c>
      <c r="I406" s="91" t="s">
        <v>1110</v>
      </c>
      <c r="J406" s="92" t="s">
        <v>102</v>
      </c>
      <c r="K406" s="356" t="s">
        <v>39</v>
      </c>
    </row>
    <row r="407" spans="1:14">
      <c r="A407" s="370">
        <v>3946</v>
      </c>
      <c r="B407" s="371">
        <v>41412</v>
      </c>
      <c r="C407" s="372" t="s">
        <v>1031</v>
      </c>
      <c r="D407" s="105">
        <v>8</v>
      </c>
      <c r="E407" s="413">
        <f>D407/6.1186</f>
        <v>1.3074886411924296</v>
      </c>
      <c r="F407" s="372" t="s">
        <v>750</v>
      </c>
      <c r="G407" s="91" t="s">
        <v>114</v>
      </c>
      <c r="H407" s="355" t="s">
        <v>1071</v>
      </c>
      <c r="I407" s="91" t="s">
        <v>1110</v>
      </c>
      <c r="J407" s="91" t="s">
        <v>894</v>
      </c>
      <c r="K407" s="356" t="s">
        <v>29</v>
      </c>
      <c r="L407" s="416" t="s">
        <v>402</v>
      </c>
      <c r="M407" s="372" t="s">
        <v>402</v>
      </c>
      <c r="N407" s="375" t="s">
        <v>402</v>
      </c>
    </row>
    <row r="408" spans="1:14" ht="15">
      <c r="A408" s="219">
        <v>3669</v>
      </c>
      <c r="B408" s="106">
        <v>41412</v>
      </c>
      <c r="C408" s="92" t="s">
        <v>844</v>
      </c>
      <c r="D408" s="423"/>
      <c r="E408" s="413">
        <v>100</v>
      </c>
      <c r="F408" s="92" t="s">
        <v>845</v>
      </c>
      <c r="G408" s="91" t="s">
        <v>114</v>
      </c>
      <c r="H408" s="355" t="s">
        <v>1071</v>
      </c>
      <c r="I408" s="91" t="s">
        <v>1110</v>
      </c>
      <c r="J408" s="92" t="s">
        <v>102</v>
      </c>
      <c r="K408" s="355" t="s">
        <v>35</v>
      </c>
    </row>
    <row r="409" spans="1:14" ht="15">
      <c r="A409" s="219">
        <v>3672</v>
      </c>
      <c r="B409" s="106">
        <v>41412</v>
      </c>
      <c r="C409" s="92" t="s">
        <v>846</v>
      </c>
      <c r="D409" s="423"/>
      <c r="E409" s="413">
        <v>25</v>
      </c>
      <c r="F409" s="92" t="s">
        <v>675</v>
      </c>
      <c r="G409" s="91" t="s">
        <v>114</v>
      </c>
      <c r="H409" s="355" t="s">
        <v>118</v>
      </c>
      <c r="I409" s="91" t="s">
        <v>1110</v>
      </c>
      <c r="J409" s="92" t="s">
        <v>102</v>
      </c>
      <c r="K409" s="355" t="s">
        <v>23</v>
      </c>
    </row>
    <row r="410" spans="1:14" ht="15">
      <c r="A410" s="219">
        <v>3671</v>
      </c>
      <c r="B410" s="106">
        <v>41414</v>
      </c>
      <c r="C410" s="92" t="s">
        <v>629</v>
      </c>
      <c r="D410" s="423"/>
      <c r="E410" s="413">
        <v>29</v>
      </c>
      <c r="F410" s="92" t="s">
        <v>533</v>
      </c>
      <c r="G410" s="91" t="s">
        <v>132</v>
      </c>
      <c r="H410" s="355" t="s">
        <v>1071</v>
      </c>
      <c r="I410" s="91" t="s">
        <v>1110</v>
      </c>
      <c r="J410" s="92" t="s">
        <v>102</v>
      </c>
      <c r="K410" s="356" t="s">
        <v>39</v>
      </c>
    </row>
    <row r="411" spans="1:14" ht="15">
      <c r="A411" s="219">
        <v>3670</v>
      </c>
      <c r="B411" s="106">
        <v>41414</v>
      </c>
      <c r="C411" s="92" t="s">
        <v>848</v>
      </c>
      <c r="D411" s="423"/>
      <c r="E411" s="413">
        <v>20</v>
      </c>
      <c r="F411" s="92" t="s">
        <v>628</v>
      </c>
      <c r="G411" s="91" t="s">
        <v>132</v>
      </c>
      <c r="H411" s="355" t="s">
        <v>1071</v>
      </c>
      <c r="I411" s="91" t="s">
        <v>1110</v>
      </c>
      <c r="J411" s="92" t="s">
        <v>102</v>
      </c>
      <c r="K411" s="356" t="s">
        <v>39</v>
      </c>
    </row>
    <row r="412" spans="1:14" ht="15">
      <c r="A412" s="219">
        <v>3667</v>
      </c>
      <c r="B412" s="106">
        <v>41414</v>
      </c>
      <c r="C412" s="92" t="s">
        <v>847</v>
      </c>
      <c r="D412" s="423"/>
      <c r="E412" s="413">
        <v>260</v>
      </c>
      <c r="F412" s="92" t="s">
        <v>363</v>
      </c>
      <c r="G412" s="268" t="s">
        <v>1083</v>
      </c>
      <c r="H412" s="355" t="s">
        <v>1071</v>
      </c>
      <c r="I412" s="91" t="s">
        <v>1110</v>
      </c>
      <c r="J412" s="92" t="s">
        <v>290</v>
      </c>
      <c r="K412" s="356" t="s">
        <v>29</v>
      </c>
    </row>
    <row r="413" spans="1:14">
      <c r="A413" s="219">
        <v>3610</v>
      </c>
      <c r="B413" s="106">
        <v>41415</v>
      </c>
      <c r="C413" s="92" t="s">
        <v>180</v>
      </c>
      <c r="D413" s="105">
        <v>50</v>
      </c>
      <c r="E413" s="413">
        <f>D413/'12 - Equity Statement'!$M$10</f>
        <v>8.1718040074526854</v>
      </c>
      <c r="F413" s="92" t="s">
        <v>403</v>
      </c>
      <c r="G413" s="91" t="s">
        <v>114</v>
      </c>
      <c r="H413" s="355" t="s">
        <v>1071</v>
      </c>
      <c r="I413" s="91" t="s">
        <v>1110</v>
      </c>
      <c r="J413" s="92" t="s">
        <v>188</v>
      </c>
      <c r="K413" s="356" t="s">
        <v>34</v>
      </c>
    </row>
    <row r="414" spans="1:14" ht="15">
      <c r="A414" s="219">
        <v>3674</v>
      </c>
      <c r="B414" s="106">
        <v>41415</v>
      </c>
      <c r="C414" s="92" t="s">
        <v>743</v>
      </c>
      <c r="D414" s="423"/>
      <c r="E414" s="413">
        <v>11</v>
      </c>
      <c r="F414" s="92" t="s">
        <v>744</v>
      </c>
      <c r="G414" s="91" t="s">
        <v>132</v>
      </c>
      <c r="H414" s="355" t="s">
        <v>1071</v>
      </c>
      <c r="I414" s="91" t="s">
        <v>1110</v>
      </c>
      <c r="J414" s="92" t="s">
        <v>102</v>
      </c>
      <c r="K414" s="356" t="s">
        <v>39</v>
      </c>
    </row>
    <row r="415" spans="1:14" ht="15">
      <c r="A415" s="219">
        <v>3675</v>
      </c>
      <c r="B415" s="106">
        <v>41415</v>
      </c>
      <c r="C415" s="92" t="s">
        <v>745</v>
      </c>
      <c r="D415" s="423"/>
      <c r="E415" s="413">
        <v>149</v>
      </c>
      <c r="F415" s="92" t="s">
        <v>616</v>
      </c>
      <c r="G415" s="91" t="s">
        <v>132</v>
      </c>
      <c r="H415" s="355" t="s">
        <v>1071</v>
      </c>
      <c r="I415" s="91" t="s">
        <v>1110</v>
      </c>
      <c r="J415" s="92" t="s">
        <v>102</v>
      </c>
      <c r="K415" s="356" t="s">
        <v>39</v>
      </c>
    </row>
    <row r="416" spans="1:14" ht="15">
      <c r="A416" s="219">
        <v>3673</v>
      </c>
      <c r="B416" s="106">
        <v>41415</v>
      </c>
      <c r="C416" s="92" t="s">
        <v>536</v>
      </c>
      <c r="D416" s="423"/>
      <c r="E416" s="413">
        <v>25</v>
      </c>
      <c r="F416" s="92" t="s">
        <v>742</v>
      </c>
      <c r="G416" s="92" t="s">
        <v>106</v>
      </c>
      <c r="H416" s="355" t="s">
        <v>1071</v>
      </c>
      <c r="I416" s="91" t="s">
        <v>1110</v>
      </c>
      <c r="J416" s="92" t="s">
        <v>102</v>
      </c>
      <c r="K416" s="355" t="s">
        <v>34</v>
      </c>
    </row>
    <row r="417" spans="1:11" ht="15">
      <c r="A417" s="219">
        <v>3676</v>
      </c>
      <c r="B417" s="106">
        <v>41416</v>
      </c>
      <c r="C417" s="92" t="s">
        <v>617</v>
      </c>
      <c r="D417" s="423"/>
      <c r="E417" s="413">
        <v>11.2</v>
      </c>
      <c r="F417" s="92" t="s">
        <v>618</v>
      </c>
      <c r="G417" s="91" t="s">
        <v>114</v>
      </c>
      <c r="H417" s="355" t="s">
        <v>1071</v>
      </c>
      <c r="I417" s="91" t="s">
        <v>1110</v>
      </c>
      <c r="J417" s="92" t="s">
        <v>102</v>
      </c>
      <c r="K417" s="356" t="s">
        <v>29</v>
      </c>
    </row>
    <row r="418" spans="1:11" ht="15">
      <c r="A418" s="219">
        <v>3677</v>
      </c>
      <c r="B418" s="106">
        <v>41416</v>
      </c>
      <c r="C418" s="92" t="s">
        <v>619</v>
      </c>
      <c r="D418" s="423"/>
      <c r="E418" s="413">
        <v>41.3</v>
      </c>
      <c r="F418" s="92" t="s">
        <v>620</v>
      </c>
      <c r="G418" s="91" t="s">
        <v>132</v>
      </c>
      <c r="H418" s="355" t="s">
        <v>1071</v>
      </c>
      <c r="I418" s="91" t="s">
        <v>1110</v>
      </c>
      <c r="J418" s="92" t="s">
        <v>102</v>
      </c>
      <c r="K418" s="356" t="s">
        <v>39</v>
      </c>
    </row>
    <row r="419" spans="1:11" ht="15">
      <c r="A419" s="219">
        <v>3678</v>
      </c>
      <c r="B419" s="106">
        <v>41416</v>
      </c>
      <c r="C419" s="92" t="s">
        <v>621</v>
      </c>
      <c r="D419" s="423"/>
      <c r="E419" s="413">
        <v>45.74</v>
      </c>
      <c r="F419" s="92" t="s">
        <v>729</v>
      </c>
      <c r="G419" s="92" t="s">
        <v>106</v>
      </c>
      <c r="H419" s="355" t="s">
        <v>1071</v>
      </c>
      <c r="I419" s="91" t="s">
        <v>1110</v>
      </c>
      <c r="J419" s="92" t="s">
        <v>102</v>
      </c>
      <c r="K419" s="355" t="s">
        <v>34</v>
      </c>
    </row>
    <row r="420" spans="1:11">
      <c r="A420" s="219">
        <v>3611</v>
      </c>
      <c r="B420" s="106">
        <v>41417</v>
      </c>
      <c r="C420" s="92" t="s">
        <v>622</v>
      </c>
      <c r="D420" s="105">
        <v>15</v>
      </c>
      <c r="E420" s="413">
        <f>D420/'12 - Equity Statement'!$M$10</f>
        <v>2.4515412022358056</v>
      </c>
      <c r="F420" s="92" t="s">
        <v>510</v>
      </c>
      <c r="G420" s="91" t="s">
        <v>132</v>
      </c>
      <c r="H420" s="355" t="s">
        <v>1071</v>
      </c>
      <c r="I420" s="91" t="s">
        <v>1110</v>
      </c>
      <c r="J420" s="92" t="s">
        <v>188</v>
      </c>
      <c r="K420" s="356" t="s">
        <v>29</v>
      </c>
    </row>
    <row r="421" spans="1:11">
      <c r="A421" s="219">
        <v>3623</v>
      </c>
      <c r="B421" s="106">
        <v>41421</v>
      </c>
      <c r="C421" s="92" t="s">
        <v>527</v>
      </c>
      <c r="D421" s="105">
        <v>40</v>
      </c>
      <c r="E421" s="413">
        <f>D421/'12 - Equity Statement'!$M$10</f>
        <v>6.5374432059621483</v>
      </c>
      <c r="F421" s="92" t="s">
        <v>510</v>
      </c>
      <c r="G421" s="91" t="s">
        <v>132</v>
      </c>
      <c r="H421" s="355" t="s">
        <v>1071</v>
      </c>
      <c r="I421" s="91" t="s">
        <v>1110</v>
      </c>
      <c r="J421" s="92" t="s">
        <v>188</v>
      </c>
      <c r="K421" s="356" t="s">
        <v>29</v>
      </c>
    </row>
    <row r="422" spans="1:11">
      <c r="A422" s="219">
        <v>3625</v>
      </c>
      <c r="B422" s="106">
        <v>41423</v>
      </c>
      <c r="C422" s="92" t="s">
        <v>180</v>
      </c>
      <c r="D422" s="105">
        <v>50</v>
      </c>
      <c r="E422" s="413">
        <f>D422/'12 - Equity Statement'!$M$10</f>
        <v>8.1718040074526854</v>
      </c>
      <c r="F422" s="92" t="s">
        <v>403</v>
      </c>
      <c r="G422" s="91" t="s">
        <v>114</v>
      </c>
      <c r="H422" s="355" t="s">
        <v>1071</v>
      </c>
      <c r="I422" s="91" t="s">
        <v>1110</v>
      </c>
      <c r="J422" s="92" t="s">
        <v>188</v>
      </c>
      <c r="K422" s="356" t="s">
        <v>34</v>
      </c>
    </row>
    <row r="423" spans="1:11">
      <c r="A423" s="219">
        <v>3627</v>
      </c>
      <c r="B423" s="106">
        <v>41424</v>
      </c>
      <c r="C423" s="92" t="s">
        <v>528</v>
      </c>
      <c r="D423" s="105">
        <v>65</v>
      </c>
      <c r="E423" s="413">
        <f>D423/'12 - Equity Statement'!$M$10</f>
        <v>10.623345209688491</v>
      </c>
      <c r="F423" s="92" t="s">
        <v>638</v>
      </c>
      <c r="G423" s="91" t="s">
        <v>114</v>
      </c>
      <c r="H423" s="355" t="s">
        <v>1071</v>
      </c>
      <c r="I423" s="91" t="s">
        <v>1110</v>
      </c>
      <c r="J423" s="92" t="s">
        <v>188</v>
      </c>
      <c r="K423" s="356" t="s">
        <v>29</v>
      </c>
    </row>
    <row r="424" spans="1:11">
      <c r="A424" s="219">
        <v>3628</v>
      </c>
      <c r="B424" s="106">
        <v>41424</v>
      </c>
      <c r="C424" s="92" t="s">
        <v>529</v>
      </c>
      <c r="D424" s="105">
        <v>1560</v>
      </c>
      <c r="E424" s="413">
        <f>D424/'12 - Equity Statement'!$M$10</f>
        <v>254.96028503252379</v>
      </c>
      <c r="F424" s="92" t="s">
        <v>530</v>
      </c>
      <c r="G424" s="92" t="s">
        <v>111</v>
      </c>
      <c r="H424" s="355" t="s">
        <v>118</v>
      </c>
      <c r="I424" s="91" t="s">
        <v>1110</v>
      </c>
      <c r="J424" s="92" t="s">
        <v>188</v>
      </c>
      <c r="K424" s="355" t="s">
        <v>26</v>
      </c>
    </row>
    <row r="425" spans="1:11">
      <c r="A425" s="219">
        <v>3631</v>
      </c>
      <c r="B425" s="106">
        <v>41425</v>
      </c>
      <c r="C425" s="92" t="s">
        <v>428</v>
      </c>
      <c r="D425" s="105">
        <v>5500</v>
      </c>
      <c r="E425" s="413">
        <f>D425/'12 - Equity Statement'!$M$10</f>
        <v>898.89844081979538</v>
      </c>
      <c r="F425" s="92" t="s">
        <v>509</v>
      </c>
      <c r="G425" s="91" t="s">
        <v>108</v>
      </c>
      <c r="H425" s="355" t="s">
        <v>1071</v>
      </c>
      <c r="I425" s="91" t="s">
        <v>1110</v>
      </c>
      <c r="J425" s="92" t="s">
        <v>188</v>
      </c>
      <c r="K425" s="355" t="s">
        <v>32</v>
      </c>
    </row>
    <row r="426" spans="1:11">
      <c r="A426" s="219">
        <v>3634</v>
      </c>
      <c r="B426" s="106">
        <v>41425</v>
      </c>
      <c r="C426" s="92" t="s">
        <v>1124</v>
      </c>
      <c r="D426" s="105">
        <v>13000</v>
      </c>
      <c r="E426" s="413">
        <f>D426/'12 - Equity Statement'!$M$10</f>
        <v>2124.6690419376982</v>
      </c>
      <c r="F426" s="92" t="s">
        <v>304</v>
      </c>
      <c r="G426" s="91" t="s">
        <v>108</v>
      </c>
      <c r="H426" s="355" t="s">
        <v>1071</v>
      </c>
      <c r="I426" s="91" t="s">
        <v>1110</v>
      </c>
      <c r="J426" s="92" t="s">
        <v>188</v>
      </c>
      <c r="K426" s="356" t="s">
        <v>30</v>
      </c>
    </row>
    <row r="427" spans="1:11">
      <c r="A427" s="219">
        <v>3636</v>
      </c>
      <c r="B427" s="106">
        <v>41425</v>
      </c>
      <c r="C427" s="92" t="s">
        <v>1135</v>
      </c>
      <c r="D427" s="105">
        <v>6000</v>
      </c>
      <c r="E427" s="413">
        <f>D427/'12 - Equity Statement'!$M$10</f>
        <v>980.61648089432231</v>
      </c>
      <c r="F427" s="92" t="s">
        <v>404</v>
      </c>
      <c r="G427" s="91" t="s">
        <v>108</v>
      </c>
      <c r="H427" s="356" t="s">
        <v>119</v>
      </c>
      <c r="I427" s="91" t="s">
        <v>1110</v>
      </c>
      <c r="J427" s="92" t="s">
        <v>188</v>
      </c>
      <c r="K427" s="355"/>
    </row>
    <row r="428" spans="1:11">
      <c r="A428" s="219">
        <v>3633</v>
      </c>
      <c r="B428" s="106">
        <v>41425</v>
      </c>
      <c r="C428" s="92" t="s">
        <v>689</v>
      </c>
      <c r="D428" s="105">
        <v>3000</v>
      </c>
      <c r="E428" s="413">
        <f>D428/'12 - Equity Statement'!$M$10</f>
        <v>490.30824044716115</v>
      </c>
      <c r="F428" s="92" t="s">
        <v>510</v>
      </c>
      <c r="G428" s="91" t="s">
        <v>108</v>
      </c>
      <c r="H428" s="355" t="s">
        <v>1071</v>
      </c>
      <c r="I428" s="91" t="s">
        <v>1110</v>
      </c>
      <c r="J428" s="92" t="s">
        <v>188</v>
      </c>
      <c r="K428" s="355" t="s">
        <v>32</v>
      </c>
    </row>
    <row r="429" spans="1:11">
      <c r="A429" s="219">
        <v>3639</v>
      </c>
      <c r="B429" s="106">
        <v>41425</v>
      </c>
      <c r="C429" s="92" t="s">
        <v>1147</v>
      </c>
      <c r="D429" s="105">
        <v>4500</v>
      </c>
      <c r="E429" s="413">
        <f>D429/'12 - Equity Statement'!$M$10</f>
        <v>735.46236067074165</v>
      </c>
      <c r="F429" s="92" t="s">
        <v>183</v>
      </c>
      <c r="G429" s="92" t="s">
        <v>111</v>
      </c>
      <c r="H429" s="356" t="s">
        <v>119</v>
      </c>
      <c r="I429" s="91" t="s">
        <v>1110</v>
      </c>
      <c r="J429" s="92" t="s">
        <v>101</v>
      </c>
      <c r="K429" s="355"/>
    </row>
    <row r="430" spans="1:11">
      <c r="A430" s="219">
        <v>3638</v>
      </c>
      <c r="B430" s="106">
        <v>41425</v>
      </c>
      <c r="C430" s="92" t="s">
        <v>1157</v>
      </c>
      <c r="D430" s="105">
        <v>4500</v>
      </c>
      <c r="E430" s="413">
        <f>D430/'12 - Equity Statement'!$M$10</f>
        <v>735.46236067074165</v>
      </c>
      <c r="F430" s="92" t="s">
        <v>182</v>
      </c>
      <c r="G430" s="92" t="s">
        <v>111</v>
      </c>
      <c r="H430" s="356" t="s">
        <v>119</v>
      </c>
      <c r="I430" s="91" t="s">
        <v>1110</v>
      </c>
      <c r="J430" s="92" t="s">
        <v>101</v>
      </c>
      <c r="K430" s="355"/>
    </row>
    <row r="431" spans="1:11">
      <c r="A431" s="219">
        <v>3637</v>
      </c>
      <c r="B431" s="106">
        <v>41425</v>
      </c>
      <c r="C431" s="92" t="s">
        <v>1173</v>
      </c>
      <c r="D431" s="105">
        <v>12000</v>
      </c>
      <c r="E431" s="413">
        <f>D431/'12 - Equity Statement'!$M$10</f>
        <v>1961.2329617886446</v>
      </c>
      <c r="F431" s="92" t="s">
        <v>184</v>
      </c>
      <c r="G431" s="92" t="s">
        <v>111</v>
      </c>
      <c r="H431" s="356" t="s">
        <v>119</v>
      </c>
      <c r="I431" s="91" t="s">
        <v>1110</v>
      </c>
      <c r="J431" s="92" t="s">
        <v>101</v>
      </c>
      <c r="K431" s="355"/>
    </row>
    <row r="432" spans="1:11">
      <c r="A432" s="219">
        <v>3635</v>
      </c>
      <c r="B432" s="106">
        <v>41425</v>
      </c>
      <c r="C432" s="92" t="s">
        <v>1178</v>
      </c>
      <c r="D432" s="105">
        <v>4000</v>
      </c>
      <c r="E432" s="413">
        <f>D432/'12 - Equity Statement'!$M$10</f>
        <v>653.74432059621483</v>
      </c>
      <c r="F432" s="92" t="s">
        <v>573</v>
      </c>
      <c r="G432" s="92" t="s">
        <v>111</v>
      </c>
      <c r="H432" s="355" t="s">
        <v>1071</v>
      </c>
      <c r="I432" s="91" t="s">
        <v>1110</v>
      </c>
      <c r="J432" s="92" t="s">
        <v>188</v>
      </c>
      <c r="K432" s="356" t="s">
        <v>29</v>
      </c>
    </row>
    <row r="433" spans="1:11">
      <c r="A433" s="219">
        <v>3640</v>
      </c>
      <c r="B433" s="106">
        <v>41425</v>
      </c>
      <c r="C433" s="92" t="s">
        <v>575</v>
      </c>
      <c r="D433" s="105">
        <v>50</v>
      </c>
      <c r="E433" s="413">
        <f>D433/'12 - Equity Statement'!$M$10</f>
        <v>8.1718040074526854</v>
      </c>
      <c r="F433" s="92" t="s">
        <v>510</v>
      </c>
      <c r="G433" s="91" t="s">
        <v>132</v>
      </c>
      <c r="H433" s="355" t="s">
        <v>1071</v>
      </c>
      <c r="I433" s="91" t="s">
        <v>1110</v>
      </c>
      <c r="J433" s="92" t="s">
        <v>188</v>
      </c>
      <c r="K433" s="356" t="s">
        <v>29</v>
      </c>
    </row>
    <row r="434" spans="1:11">
      <c r="A434" s="219">
        <v>3700</v>
      </c>
      <c r="B434" s="106">
        <v>41426</v>
      </c>
      <c r="C434" s="92" t="s">
        <v>640</v>
      </c>
      <c r="D434" s="105">
        <v>320</v>
      </c>
      <c r="E434" s="413">
        <f>D434/'12 - Equity Statement'!$N$10</f>
        <v>52.870714580751752</v>
      </c>
      <c r="F434" s="92" t="s">
        <v>641</v>
      </c>
      <c r="G434" s="92" t="s">
        <v>106</v>
      </c>
      <c r="H434" s="355" t="s">
        <v>1071</v>
      </c>
      <c r="I434" s="91" t="s">
        <v>1110</v>
      </c>
      <c r="J434" s="92" t="s">
        <v>188</v>
      </c>
      <c r="K434" s="355" t="s">
        <v>34</v>
      </c>
    </row>
    <row r="435" spans="1:11">
      <c r="A435" s="219">
        <v>3653</v>
      </c>
      <c r="B435" s="106">
        <v>41427</v>
      </c>
      <c r="C435" s="92" t="s">
        <v>642</v>
      </c>
      <c r="D435" s="105">
        <v>752</v>
      </c>
      <c r="E435" s="413">
        <f>D435/'12 - Equity Statement'!$N$10</f>
        <v>124.24617926476662</v>
      </c>
      <c r="F435" s="92" t="s">
        <v>643</v>
      </c>
      <c r="G435" s="92" t="s">
        <v>106</v>
      </c>
      <c r="H435" s="356" t="s">
        <v>119</v>
      </c>
      <c r="I435" s="91" t="s">
        <v>1110</v>
      </c>
      <c r="J435" s="92" t="s">
        <v>101</v>
      </c>
      <c r="K435" s="355"/>
    </row>
    <row r="436" spans="1:11" ht="15">
      <c r="A436" s="219">
        <v>3706</v>
      </c>
      <c r="B436" s="106">
        <v>41428</v>
      </c>
      <c r="C436" s="92" t="s">
        <v>644</v>
      </c>
      <c r="D436" s="423"/>
      <c r="E436" s="413">
        <v>44.95</v>
      </c>
      <c r="F436" s="92" t="s">
        <v>645</v>
      </c>
      <c r="G436" s="91" t="s">
        <v>114</v>
      </c>
      <c r="H436" s="355" t="s">
        <v>118</v>
      </c>
      <c r="I436" s="91" t="s">
        <v>1110</v>
      </c>
      <c r="J436" s="92" t="s">
        <v>102</v>
      </c>
      <c r="K436" s="355" t="s">
        <v>23</v>
      </c>
    </row>
    <row r="437" spans="1:11">
      <c r="A437" s="219">
        <v>3686</v>
      </c>
      <c r="B437" s="106">
        <v>41429</v>
      </c>
      <c r="C437" s="92" t="s">
        <v>646</v>
      </c>
      <c r="D437" s="105">
        <v>1100</v>
      </c>
      <c r="E437" s="413">
        <f>D437/'12 - Equity Statement'!$N$10</f>
        <v>181.74308137133414</v>
      </c>
      <c r="F437" s="92" t="s">
        <v>647</v>
      </c>
      <c r="G437" s="92" t="s">
        <v>108</v>
      </c>
      <c r="H437" s="355" t="s">
        <v>1071</v>
      </c>
      <c r="I437" s="91" t="s">
        <v>1110</v>
      </c>
      <c r="J437" s="92" t="s">
        <v>188</v>
      </c>
      <c r="K437" s="356" t="s">
        <v>29</v>
      </c>
    </row>
    <row r="438" spans="1:11" ht="15">
      <c r="A438" s="219">
        <v>3705</v>
      </c>
      <c r="B438" s="106">
        <v>41429</v>
      </c>
      <c r="C438" s="92" t="s">
        <v>649</v>
      </c>
      <c r="D438" s="423"/>
      <c r="E438" s="413">
        <v>200</v>
      </c>
      <c r="F438" s="92" t="s">
        <v>185</v>
      </c>
      <c r="G438" s="92" t="s">
        <v>113</v>
      </c>
      <c r="H438" s="408" t="s">
        <v>123</v>
      </c>
      <c r="I438" s="91" t="s">
        <v>1110</v>
      </c>
      <c r="J438" s="92" t="s">
        <v>290</v>
      </c>
      <c r="K438" s="355"/>
    </row>
    <row r="439" spans="1:11">
      <c r="A439" s="219">
        <v>3652</v>
      </c>
      <c r="B439" s="106">
        <v>41430</v>
      </c>
      <c r="C439" s="92" t="s">
        <v>650</v>
      </c>
      <c r="D439" s="105">
        <v>6000</v>
      </c>
      <c r="E439" s="413">
        <f>D439/'12 - Equity Statement'!$N$10</f>
        <v>991.32589838909541</v>
      </c>
      <c r="F439" s="92" t="s">
        <v>651</v>
      </c>
      <c r="G439" s="92" t="s">
        <v>111</v>
      </c>
      <c r="H439" s="356" t="s">
        <v>119</v>
      </c>
      <c r="I439" s="91" t="s">
        <v>1110</v>
      </c>
      <c r="J439" s="92" t="s">
        <v>101</v>
      </c>
      <c r="K439" s="355"/>
    </row>
    <row r="440" spans="1:11">
      <c r="A440" s="219">
        <v>3688</v>
      </c>
      <c r="B440" s="106">
        <v>41430</v>
      </c>
      <c r="C440" s="92" t="s">
        <v>353</v>
      </c>
      <c r="D440" s="105">
        <v>24</v>
      </c>
      <c r="E440" s="413">
        <f>D440/'12 - Equity Statement'!$N$10</f>
        <v>3.9653035935563814</v>
      </c>
      <c r="F440" s="92" t="s">
        <v>354</v>
      </c>
      <c r="G440" s="92" t="s">
        <v>113</v>
      </c>
      <c r="H440" s="355" t="s">
        <v>1071</v>
      </c>
      <c r="I440" s="91" t="s">
        <v>1110</v>
      </c>
      <c r="J440" s="92" t="s">
        <v>101</v>
      </c>
      <c r="K440" s="356" t="s">
        <v>34</v>
      </c>
    </row>
    <row r="441" spans="1:11">
      <c r="A441" s="219">
        <v>3689</v>
      </c>
      <c r="B441" s="106">
        <v>41430</v>
      </c>
      <c r="C441" s="92" t="s">
        <v>355</v>
      </c>
      <c r="D441" s="105">
        <v>140</v>
      </c>
      <c r="E441" s="413">
        <f>D441/'12 - Equity Statement'!$N$10</f>
        <v>23.130937629078893</v>
      </c>
      <c r="F441" s="92" t="s">
        <v>510</v>
      </c>
      <c r="G441" s="91" t="s">
        <v>132</v>
      </c>
      <c r="H441" s="355" t="s">
        <v>1071</v>
      </c>
      <c r="I441" s="91" t="s">
        <v>1110</v>
      </c>
      <c r="J441" s="92" t="s">
        <v>188</v>
      </c>
      <c r="K441" s="356" t="s">
        <v>29</v>
      </c>
    </row>
    <row r="442" spans="1:11">
      <c r="A442" s="219">
        <v>3685</v>
      </c>
      <c r="B442" s="106">
        <v>41431</v>
      </c>
      <c r="C442" s="92" t="s">
        <v>180</v>
      </c>
      <c r="D442" s="105">
        <v>50</v>
      </c>
      <c r="E442" s="413">
        <f>D442/'12 - Equity Statement'!$N$10</f>
        <v>8.2610491532424621</v>
      </c>
      <c r="F442" s="92" t="s">
        <v>403</v>
      </c>
      <c r="G442" s="91" t="s">
        <v>114</v>
      </c>
      <c r="H442" s="355" t="s">
        <v>1071</v>
      </c>
      <c r="I442" s="91" t="s">
        <v>1110</v>
      </c>
      <c r="J442" s="92" t="s">
        <v>188</v>
      </c>
      <c r="K442" s="356" t="s">
        <v>34</v>
      </c>
    </row>
    <row r="443" spans="1:11">
      <c r="A443" s="219">
        <v>3692</v>
      </c>
      <c r="B443" s="106">
        <v>41432</v>
      </c>
      <c r="C443" s="92" t="s">
        <v>360</v>
      </c>
      <c r="D443" s="105">
        <v>389</v>
      </c>
      <c r="E443" s="413">
        <f>D443/'12 - Equity Statement'!$N$10</f>
        <v>64.270962412226353</v>
      </c>
      <c r="F443" s="92" t="s">
        <v>361</v>
      </c>
      <c r="G443" s="91" t="s">
        <v>19</v>
      </c>
      <c r="H443" s="355" t="s">
        <v>1071</v>
      </c>
      <c r="I443" s="91" t="s">
        <v>1110</v>
      </c>
      <c r="J443" s="92" t="s">
        <v>188</v>
      </c>
      <c r="K443" s="356" t="s">
        <v>32</v>
      </c>
    </row>
    <row r="444" spans="1:11">
      <c r="A444" s="219">
        <v>3684</v>
      </c>
      <c r="B444" s="106">
        <v>41438</v>
      </c>
      <c r="C444" s="92" t="s">
        <v>180</v>
      </c>
      <c r="D444" s="105">
        <v>50</v>
      </c>
      <c r="E444" s="413">
        <f>D444/'12 - Equity Statement'!$N$10</f>
        <v>8.2610491532424621</v>
      </c>
      <c r="F444" s="92" t="s">
        <v>403</v>
      </c>
      <c r="G444" s="91" t="s">
        <v>114</v>
      </c>
      <c r="H444" s="355" t="s">
        <v>1071</v>
      </c>
      <c r="I444" s="91" t="s">
        <v>1110</v>
      </c>
      <c r="J444" s="92" t="s">
        <v>188</v>
      </c>
      <c r="K444" s="356" t="s">
        <v>34</v>
      </c>
    </row>
    <row r="445" spans="1:11">
      <c r="A445" s="219">
        <v>3703</v>
      </c>
      <c r="B445" s="106">
        <v>41438</v>
      </c>
      <c r="C445" s="92" t="s">
        <v>263</v>
      </c>
      <c r="D445" s="105">
        <v>49.8</v>
      </c>
      <c r="E445" s="413">
        <f>D445/'12 - Equity Statement'!$N$10</f>
        <v>8.2280049566294906</v>
      </c>
      <c r="F445" s="92" t="s">
        <v>264</v>
      </c>
      <c r="G445" s="92" t="s">
        <v>106</v>
      </c>
      <c r="H445" s="356" t="s">
        <v>119</v>
      </c>
      <c r="I445" s="91" t="s">
        <v>1110</v>
      </c>
      <c r="J445" s="92" t="s">
        <v>101</v>
      </c>
      <c r="K445" s="355"/>
    </row>
    <row r="446" spans="1:11">
      <c r="A446" s="219">
        <v>3683</v>
      </c>
      <c r="B446" s="106">
        <v>41438</v>
      </c>
      <c r="C446" s="92" t="s">
        <v>261</v>
      </c>
      <c r="D446" s="105">
        <v>98</v>
      </c>
      <c r="E446" s="413">
        <f>D446/'12 - Equity Statement'!$N$10</f>
        <v>16.191656340355223</v>
      </c>
      <c r="F446" s="92" t="s">
        <v>262</v>
      </c>
      <c r="G446" s="92" t="s">
        <v>112</v>
      </c>
      <c r="H446" s="355" t="s">
        <v>1071</v>
      </c>
      <c r="I446" s="91" t="s">
        <v>1110</v>
      </c>
      <c r="J446" s="92" t="s">
        <v>188</v>
      </c>
      <c r="K446" s="355" t="s">
        <v>35</v>
      </c>
    </row>
    <row r="447" spans="1:11">
      <c r="A447" s="219">
        <v>3704</v>
      </c>
      <c r="B447" s="106">
        <v>41441</v>
      </c>
      <c r="C447" s="92" t="s">
        <v>385</v>
      </c>
      <c r="D447" s="105">
        <v>520</v>
      </c>
      <c r="E447" s="413">
        <f>D447/'12 - Equity Statement'!$N$10</f>
        <v>85.914911193721593</v>
      </c>
      <c r="F447" s="92" t="s">
        <v>264</v>
      </c>
      <c r="G447" s="92" t="s">
        <v>106</v>
      </c>
      <c r="H447" s="356" t="s">
        <v>119</v>
      </c>
      <c r="I447" s="91" t="s">
        <v>1110</v>
      </c>
      <c r="J447" s="92" t="s">
        <v>101</v>
      </c>
      <c r="K447" s="355"/>
    </row>
    <row r="448" spans="1:11">
      <c r="A448" s="219">
        <v>3690</v>
      </c>
      <c r="B448" s="106">
        <v>41442</v>
      </c>
      <c r="C448" s="92" t="s">
        <v>487</v>
      </c>
      <c r="D448" s="105">
        <v>50</v>
      </c>
      <c r="E448" s="413">
        <f>D448/'12 - Equity Statement'!$N$10</f>
        <v>8.2610491532424621</v>
      </c>
      <c r="F448" s="92" t="s">
        <v>510</v>
      </c>
      <c r="G448" s="91" t="s">
        <v>132</v>
      </c>
      <c r="H448" s="355" t="s">
        <v>1071</v>
      </c>
      <c r="I448" s="91" t="s">
        <v>1110</v>
      </c>
      <c r="J448" s="92" t="s">
        <v>188</v>
      </c>
      <c r="K448" s="356" t="s">
        <v>29</v>
      </c>
    </row>
    <row r="449" spans="1:11" ht="15">
      <c r="A449" s="219">
        <v>3707</v>
      </c>
      <c r="B449" s="106">
        <v>41442</v>
      </c>
      <c r="C449" s="92" t="s">
        <v>488</v>
      </c>
      <c r="D449" s="423"/>
      <c r="E449" s="413">
        <v>1922.68</v>
      </c>
      <c r="F449" s="92" t="s">
        <v>489</v>
      </c>
      <c r="G449" s="91" t="s">
        <v>132</v>
      </c>
      <c r="H449" s="355" t="s">
        <v>120</v>
      </c>
      <c r="I449" s="91" t="s">
        <v>1110</v>
      </c>
      <c r="J449" s="92" t="s">
        <v>102</v>
      </c>
      <c r="K449" s="356"/>
    </row>
    <row r="450" spans="1:11" ht="15">
      <c r="A450" s="219">
        <v>3708</v>
      </c>
      <c r="B450" s="106">
        <v>41443</v>
      </c>
      <c r="C450" s="92" t="s">
        <v>490</v>
      </c>
      <c r="D450" s="423"/>
      <c r="E450" s="413">
        <v>19.18</v>
      </c>
      <c r="F450" s="92" t="s">
        <v>491</v>
      </c>
      <c r="G450" s="92" t="s">
        <v>111</v>
      </c>
      <c r="H450" s="355" t="s">
        <v>118</v>
      </c>
      <c r="I450" s="91" t="s">
        <v>1110</v>
      </c>
      <c r="J450" s="92" t="s">
        <v>102</v>
      </c>
      <c r="K450" s="355" t="s">
        <v>26</v>
      </c>
    </row>
    <row r="451" spans="1:11">
      <c r="A451" s="219">
        <v>3718</v>
      </c>
      <c r="B451" s="106">
        <v>41443</v>
      </c>
      <c r="C451" s="92" t="s">
        <v>492</v>
      </c>
      <c r="D451" s="105">
        <v>150</v>
      </c>
      <c r="E451" s="413">
        <f>D451/'12 - Equity Statement'!$N$10</f>
        <v>24.783147459727385</v>
      </c>
      <c r="F451" s="92" t="s">
        <v>493</v>
      </c>
      <c r="G451" s="92" t="s">
        <v>106</v>
      </c>
      <c r="H451" s="355" t="s">
        <v>1071</v>
      </c>
      <c r="I451" s="91" t="s">
        <v>1110</v>
      </c>
      <c r="J451" s="92" t="s">
        <v>188</v>
      </c>
      <c r="K451" s="355" t="s">
        <v>34</v>
      </c>
    </row>
    <row r="452" spans="1:11" ht="15">
      <c r="A452" s="219">
        <v>3709</v>
      </c>
      <c r="B452" s="106">
        <v>41444</v>
      </c>
      <c r="C452" s="92" t="s">
        <v>494</v>
      </c>
      <c r="D452" s="423"/>
      <c r="E452" s="413">
        <v>59.95</v>
      </c>
      <c r="F452" s="92" t="s">
        <v>495</v>
      </c>
      <c r="G452" s="92" t="s">
        <v>106</v>
      </c>
      <c r="H452" s="356" t="s">
        <v>119</v>
      </c>
      <c r="I452" s="91" t="s">
        <v>1110</v>
      </c>
      <c r="J452" s="92" t="s">
        <v>102</v>
      </c>
      <c r="K452" s="355"/>
    </row>
    <row r="453" spans="1:11">
      <c r="A453" s="219">
        <v>3691</v>
      </c>
      <c r="B453" s="106">
        <v>41445</v>
      </c>
      <c r="C453" s="92" t="s">
        <v>593</v>
      </c>
      <c r="D453" s="105">
        <v>46</v>
      </c>
      <c r="E453" s="413">
        <f>D453/'12 - Equity Statement'!$N$10</f>
        <v>7.6001652209830644</v>
      </c>
      <c r="F453" s="92" t="s">
        <v>510</v>
      </c>
      <c r="G453" s="91" t="s">
        <v>132</v>
      </c>
      <c r="H453" s="356" t="s">
        <v>119</v>
      </c>
      <c r="I453" s="91" t="s">
        <v>1110</v>
      </c>
      <c r="J453" s="92" t="s">
        <v>188</v>
      </c>
      <c r="K453" s="355"/>
    </row>
    <row r="454" spans="1:11">
      <c r="A454" s="219">
        <v>3711</v>
      </c>
      <c r="B454" s="106">
        <v>41445</v>
      </c>
      <c r="C454" s="92" t="s">
        <v>591</v>
      </c>
      <c r="D454" s="105">
        <v>2231</v>
      </c>
      <c r="E454" s="413">
        <f>D454/'12 - Equity Statement'!$N$10</f>
        <v>368.60801321767866</v>
      </c>
      <c r="F454" s="92" t="s">
        <v>489</v>
      </c>
      <c r="G454" s="91" t="s">
        <v>132</v>
      </c>
      <c r="H454" s="355" t="s">
        <v>118</v>
      </c>
      <c r="I454" s="91" t="s">
        <v>1110</v>
      </c>
      <c r="J454" s="92" t="s">
        <v>101</v>
      </c>
      <c r="K454" s="355" t="s">
        <v>26</v>
      </c>
    </row>
    <row r="455" spans="1:11">
      <c r="A455" s="219">
        <v>3712</v>
      </c>
      <c r="B455" s="106">
        <v>41446</v>
      </c>
      <c r="C455" s="91" t="s">
        <v>1162</v>
      </c>
      <c r="D455" s="105">
        <v>8000</v>
      </c>
      <c r="E455" s="413">
        <f>D455/'12 - Equity Statement'!$N$10</f>
        <v>1321.7678645187939</v>
      </c>
      <c r="F455" s="92" t="s">
        <v>184</v>
      </c>
      <c r="G455" s="92" t="s">
        <v>111</v>
      </c>
      <c r="H455" s="356" t="s">
        <v>119</v>
      </c>
      <c r="I455" s="91" t="s">
        <v>1110</v>
      </c>
      <c r="J455" s="92" t="s">
        <v>188</v>
      </c>
      <c r="K455" s="355"/>
    </row>
    <row r="456" spans="1:11">
      <c r="A456" s="219">
        <v>3719</v>
      </c>
      <c r="B456" s="106">
        <v>41448</v>
      </c>
      <c r="C456" s="92" t="s">
        <v>708</v>
      </c>
      <c r="D456" s="105">
        <v>1076</v>
      </c>
      <c r="E456" s="413">
        <f>D456/'12 - Equity Statement'!$N$10</f>
        <v>177.77777777777777</v>
      </c>
      <c r="F456" s="92" t="s">
        <v>709</v>
      </c>
      <c r="G456" s="91" t="s">
        <v>132</v>
      </c>
      <c r="H456" s="356" t="s">
        <v>119</v>
      </c>
      <c r="I456" s="91" t="s">
        <v>1110</v>
      </c>
      <c r="J456" s="92" t="s">
        <v>188</v>
      </c>
      <c r="K456" s="355"/>
    </row>
    <row r="457" spans="1:11">
      <c r="A457" s="219">
        <v>3713</v>
      </c>
      <c r="B457" s="106">
        <v>41450</v>
      </c>
      <c r="C457" s="92" t="s">
        <v>712</v>
      </c>
      <c r="D457" s="105">
        <v>318</v>
      </c>
      <c r="E457" s="413">
        <f>D457/'12 - Equity Statement'!$N$10</f>
        <v>52.540272614622054</v>
      </c>
      <c r="F457" s="92" t="s">
        <v>643</v>
      </c>
      <c r="G457" s="91" t="s">
        <v>132</v>
      </c>
      <c r="H457" s="355" t="s">
        <v>118</v>
      </c>
      <c r="I457" s="91" t="s">
        <v>1110</v>
      </c>
      <c r="J457" s="92" t="s">
        <v>188</v>
      </c>
      <c r="K457" s="355" t="s">
        <v>26</v>
      </c>
    </row>
    <row r="458" spans="1:11">
      <c r="A458" s="219">
        <v>3693</v>
      </c>
      <c r="B458" s="106">
        <v>41451</v>
      </c>
      <c r="C458" s="92" t="s">
        <v>180</v>
      </c>
      <c r="D458" s="105">
        <v>50</v>
      </c>
      <c r="E458" s="413">
        <f>D458/'12 - Equity Statement'!$N$10</f>
        <v>8.2610491532424621</v>
      </c>
      <c r="F458" s="92" t="s">
        <v>403</v>
      </c>
      <c r="G458" s="91" t="s">
        <v>114</v>
      </c>
      <c r="H458" s="355" t="s">
        <v>1071</v>
      </c>
      <c r="I458" s="91" t="s">
        <v>1110</v>
      </c>
      <c r="J458" s="92" t="s">
        <v>188</v>
      </c>
      <c r="K458" s="356" t="s">
        <v>34</v>
      </c>
    </row>
    <row r="459" spans="1:11">
      <c r="A459" s="219">
        <v>3664</v>
      </c>
      <c r="B459" s="106">
        <v>41453</v>
      </c>
      <c r="C459" s="92" t="s">
        <v>508</v>
      </c>
      <c r="D459" s="105">
        <v>5500</v>
      </c>
      <c r="E459" s="413">
        <f>D459/'12 - Equity Statement'!$N$10</f>
        <v>908.71540685667071</v>
      </c>
      <c r="F459" s="92" t="s">
        <v>509</v>
      </c>
      <c r="G459" s="91" t="s">
        <v>108</v>
      </c>
      <c r="H459" s="355" t="s">
        <v>1071</v>
      </c>
      <c r="I459" s="91" t="s">
        <v>1110</v>
      </c>
      <c r="J459" s="92" t="s">
        <v>188</v>
      </c>
      <c r="K459" s="355" t="s">
        <v>32</v>
      </c>
    </row>
    <row r="460" spans="1:11">
      <c r="A460" s="219">
        <v>3694</v>
      </c>
      <c r="B460" s="106">
        <v>41453</v>
      </c>
      <c r="C460" s="92" t="s">
        <v>1122</v>
      </c>
      <c r="D460" s="105">
        <v>13000</v>
      </c>
      <c r="E460" s="413">
        <f>D460/'12 - Equity Statement'!$N$10</f>
        <v>2147.87277984304</v>
      </c>
      <c r="F460" s="92" t="s">
        <v>304</v>
      </c>
      <c r="G460" s="91" t="s">
        <v>108</v>
      </c>
      <c r="H460" s="355" t="s">
        <v>1071</v>
      </c>
      <c r="I460" s="91" t="s">
        <v>1110</v>
      </c>
      <c r="J460" s="92" t="s">
        <v>188</v>
      </c>
      <c r="K460" s="356" t="s">
        <v>30</v>
      </c>
    </row>
    <row r="461" spans="1:11">
      <c r="A461" s="219">
        <v>3698</v>
      </c>
      <c r="B461" s="106">
        <v>41453</v>
      </c>
      <c r="C461" s="92" t="s">
        <v>1133</v>
      </c>
      <c r="D461" s="105">
        <v>6000</v>
      </c>
      <c r="E461" s="413">
        <f>D461/'12 - Equity Statement'!$N$10</f>
        <v>991.32589838909541</v>
      </c>
      <c r="F461" s="92" t="s">
        <v>404</v>
      </c>
      <c r="G461" s="91" t="s">
        <v>108</v>
      </c>
      <c r="H461" s="355" t="s">
        <v>1071</v>
      </c>
      <c r="I461" s="91" t="s">
        <v>1110</v>
      </c>
      <c r="J461" s="92" t="s">
        <v>188</v>
      </c>
      <c r="K461" s="355" t="s">
        <v>37</v>
      </c>
    </row>
    <row r="462" spans="1:11">
      <c r="A462" s="219">
        <v>3665</v>
      </c>
      <c r="B462" s="106">
        <v>41453</v>
      </c>
      <c r="C462" s="92" t="s">
        <v>604</v>
      </c>
      <c r="D462" s="105">
        <v>3000</v>
      </c>
      <c r="E462" s="413">
        <f>D462/'12 - Equity Statement'!$N$10</f>
        <v>495.66294919454771</v>
      </c>
      <c r="F462" s="92" t="s">
        <v>510</v>
      </c>
      <c r="G462" s="91" t="s">
        <v>108</v>
      </c>
      <c r="H462" s="355" t="s">
        <v>118</v>
      </c>
      <c r="I462" s="91" t="s">
        <v>1110</v>
      </c>
      <c r="J462" s="92" t="s">
        <v>188</v>
      </c>
      <c r="K462" s="355" t="s">
        <v>23</v>
      </c>
    </row>
    <row r="463" spans="1:11">
      <c r="A463" s="219">
        <v>3697</v>
      </c>
      <c r="B463" s="106">
        <v>41453</v>
      </c>
      <c r="C463" s="92" t="s">
        <v>1146</v>
      </c>
      <c r="D463" s="105">
        <v>4500</v>
      </c>
      <c r="E463" s="413">
        <f>D463/'12 - Equity Statement'!$N$10</f>
        <v>743.49442379182153</v>
      </c>
      <c r="F463" s="92" t="s">
        <v>183</v>
      </c>
      <c r="G463" s="92" t="s">
        <v>111</v>
      </c>
      <c r="H463" s="356" t="s">
        <v>119</v>
      </c>
      <c r="I463" s="91" t="s">
        <v>1110</v>
      </c>
      <c r="J463" s="92" t="s">
        <v>101</v>
      </c>
      <c r="K463" s="355"/>
    </row>
    <row r="464" spans="1:11">
      <c r="A464" s="219">
        <v>3696</v>
      </c>
      <c r="B464" s="106">
        <v>41453</v>
      </c>
      <c r="C464" s="92" t="s">
        <v>1156</v>
      </c>
      <c r="D464" s="105">
        <v>4500</v>
      </c>
      <c r="E464" s="413">
        <f>D464/'12 - Equity Statement'!$N$10</f>
        <v>743.49442379182153</v>
      </c>
      <c r="F464" s="92" t="s">
        <v>182</v>
      </c>
      <c r="G464" s="92" t="s">
        <v>111</v>
      </c>
      <c r="H464" s="356" t="s">
        <v>119</v>
      </c>
      <c r="I464" s="91" t="s">
        <v>1110</v>
      </c>
      <c r="J464" s="92" t="s">
        <v>101</v>
      </c>
      <c r="K464" s="355"/>
    </row>
    <row r="465" spans="1:11">
      <c r="A465" s="219">
        <v>3695</v>
      </c>
      <c r="B465" s="106">
        <v>41453</v>
      </c>
      <c r="C465" s="92" t="s">
        <v>1171</v>
      </c>
      <c r="D465" s="105">
        <v>12000</v>
      </c>
      <c r="E465" s="413">
        <f>D465/'12 - Equity Statement'!$N$10</f>
        <v>1982.6517967781908</v>
      </c>
      <c r="F465" s="92" t="s">
        <v>184</v>
      </c>
      <c r="G465" s="92" t="s">
        <v>111</v>
      </c>
      <c r="H465" s="356" t="s">
        <v>119</v>
      </c>
      <c r="I465" s="91" t="s">
        <v>1110</v>
      </c>
      <c r="J465" s="92" t="s">
        <v>101</v>
      </c>
      <c r="K465" s="355"/>
    </row>
    <row r="466" spans="1:11" ht="15">
      <c r="A466" s="220">
        <v>3732</v>
      </c>
      <c r="B466" s="104">
        <v>41457</v>
      </c>
      <c r="C466" s="91" t="s">
        <v>296</v>
      </c>
      <c r="D466" s="423"/>
      <c r="E466" s="413">
        <v>200</v>
      </c>
      <c r="F466" s="91" t="s">
        <v>185</v>
      </c>
      <c r="G466" s="91" t="s">
        <v>113</v>
      </c>
      <c r="H466" s="408" t="s">
        <v>123</v>
      </c>
      <c r="I466" s="91" t="s">
        <v>1110</v>
      </c>
      <c r="J466" s="91" t="s">
        <v>290</v>
      </c>
      <c r="K466" s="355"/>
    </row>
    <row r="467" spans="1:11" ht="15">
      <c r="A467" s="220">
        <v>3729</v>
      </c>
      <c r="B467" s="104">
        <v>41458</v>
      </c>
      <c r="C467" s="91" t="s">
        <v>297</v>
      </c>
      <c r="D467" s="423"/>
      <c r="E467" s="413">
        <v>385.12</v>
      </c>
      <c r="F467" s="91" t="s">
        <v>1098</v>
      </c>
      <c r="G467" s="91" t="s">
        <v>132</v>
      </c>
      <c r="H467" s="355" t="s">
        <v>120</v>
      </c>
      <c r="I467" s="91" t="s">
        <v>1110</v>
      </c>
      <c r="J467" s="91" t="s">
        <v>102</v>
      </c>
      <c r="K467" s="355"/>
    </row>
    <row r="468" spans="1:11">
      <c r="A468" s="220">
        <v>3751</v>
      </c>
      <c r="B468" s="104">
        <v>41459</v>
      </c>
      <c r="C468" s="91" t="s">
        <v>513</v>
      </c>
      <c r="D468" s="105">
        <v>50</v>
      </c>
      <c r="E468" s="413">
        <f t="shared" ref="E468:E477" si="7">D468/6.0506</f>
        <v>8.2636432750471016</v>
      </c>
      <c r="F468" s="91" t="s">
        <v>403</v>
      </c>
      <c r="G468" s="91" t="s">
        <v>114</v>
      </c>
      <c r="H468" s="355" t="s">
        <v>1071</v>
      </c>
      <c r="I468" s="91" t="s">
        <v>1110</v>
      </c>
      <c r="J468" s="91" t="s">
        <v>291</v>
      </c>
      <c r="K468" s="356" t="s">
        <v>34</v>
      </c>
    </row>
    <row r="469" spans="1:11">
      <c r="A469" s="220">
        <v>3749</v>
      </c>
      <c r="B469" s="104">
        <v>41460</v>
      </c>
      <c r="C469" s="91" t="s">
        <v>273</v>
      </c>
      <c r="D469" s="105">
        <v>2586.8000000000002</v>
      </c>
      <c r="E469" s="413">
        <f t="shared" si="7"/>
        <v>427.52784847783693</v>
      </c>
      <c r="F469" s="91" t="s">
        <v>403</v>
      </c>
      <c r="G469" s="91" t="s">
        <v>106</v>
      </c>
      <c r="H469" s="355" t="s">
        <v>1071</v>
      </c>
      <c r="I469" s="91" t="s">
        <v>1110</v>
      </c>
      <c r="J469" s="91" t="s">
        <v>291</v>
      </c>
      <c r="K469" s="355" t="s">
        <v>34</v>
      </c>
    </row>
    <row r="470" spans="1:11">
      <c r="A470" s="220">
        <v>3733</v>
      </c>
      <c r="B470" s="104">
        <v>41461</v>
      </c>
      <c r="C470" s="91" t="s">
        <v>395</v>
      </c>
      <c r="D470" s="105">
        <v>100</v>
      </c>
      <c r="E470" s="413">
        <f t="shared" si="7"/>
        <v>16.527286550094203</v>
      </c>
      <c r="F470" s="91" t="s">
        <v>403</v>
      </c>
      <c r="G470" s="91" t="s">
        <v>114</v>
      </c>
      <c r="H470" s="355" t="s">
        <v>1071</v>
      </c>
      <c r="I470" s="91" t="s">
        <v>1110</v>
      </c>
      <c r="J470" s="91" t="s">
        <v>291</v>
      </c>
      <c r="K470" s="356" t="s">
        <v>34</v>
      </c>
    </row>
    <row r="471" spans="1:11">
      <c r="A471" s="220">
        <v>3744</v>
      </c>
      <c r="B471" s="104">
        <v>41466</v>
      </c>
      <c r="C471" s="91" t="s">
        <v>180</v>
      </c>
      <c r="D471" s="105">
        <v>50</v>
      </c>
      <c r="E471" s="413">
        <f t="shared" si="7"/>
        <v>8.2636432750471016</v>
      </c>
      <c r="F471" s="91" t="s">
        <v>403</v>
      </c>
      <c r="G471" s="91" t="s">
        <v>114</v>
      </c>
      <c r="H471" s="355" t="s">
        <v>1071</v>
      </c>
      <c r="I471" s="91" t="s">
        <v>1110</v>
      </c>
      <c r="J471" s="91" t="s">
        <v>291</v>
      </c>
      <c r="K471" s="356" t="s">
        <v>34</v>
      </c>
    </row>
    <row r="472" spans="1:11">
      <c r="A472" s="220">
        <v>3745</v>
      </c>
      <c r="B472" s="104">
        <v>41471</v>
      </c>
      <c r="C472" s="91" t="s">
        <v>295</v>
      </c>
      <c r="D472" s="105">
        <v>440</v>
      </c>
      <c r="E472" s="413">
        <f t="shared" si="7"/>
        <v>72.720060820414503</v>
      </c>
      <c r="F472" s="91" t="s">
        <v>403</v>
      </c>
      <c r="G472" s="91" t="s">
        <v>114</v>
      </c>
      <c r="H472" s="355" t="s">
        <v>1071</v>
      </c>
      <c r="I472" s="91" t="s">
        <v>1110</v>
      </c>
      <c r="J472" s="91" t="s">
        <v>291</v>
      </c>
      <c r="K472" s="356" t="s">
        <v>29</v>
      </c>
    </row>
    <row r="473" spans="1:11">
      <c r="A473" s="220">
        <v>3731</v>
      </c>
      <c r="B473" s="104">
        <v>41471</v>
      </c>
      <c r="C473" s="91" t="s">
        <v>293</v>
      </c>
      <c r="D473" s="105">
        <v>80</v>
      </c>
      <c r="E473" s="413">
        <f t="shared" si="7"/>
        <v>13.221829240075364</v>
      </c>
      <c r="F473" s="91" t="s">
        <v>510</v>
      </c>
      <c r="G473" s="91" t="s">
        <v>132</v>
      </c>
      <c r="H473" s="355" t="s">
        <v>1071</v>
      </c>
      <c r="I473" s="91" t="s">
        <v>1110</v>
      </c>
      <c r="J473" s="91" t="s">
        <v>291</v>
      </c>
      <c r="K473" s="356" t="s">
        <v>29</v>
      </c>
    </row>
    <row r="474" spans="1:11">
      <c r="A474" s="220">
        <v>3736</v>
      </c>
      <c r="B474" s="104">
        <v>41478</v>
      </c>
      <c r="C474" s="91" t="s">
        <v>407</v>
      </c>
      <c r="D474" s="105">
        <v>100</v>
      </c>
      <c r="E474" s="413">
        <f t="shared" si="7"/>
        <v>16.527286550094203</v>
      </c>
      <c r="F474" s="91" t="s">
        <v>403</v>
      </c>
      <c r="G474" s="91" t="s">
        <v>106</v>
      </c>
      <c r="H474" s="355" t="s">
        <v>1071</v>
      </c>
      <c r="I474" s="91" t="s">
        <v>1110</v>
      </c>
      <c r="J474" s="91" t="s">
        <v>291</v>
      </c>
      <c r="K474" s="355" t="s">
        <v>34</v>
      </c>
    </row>
    <row r="475" spans="1:11">
      <c r="A475" s="220">
        <v>3735</v>
      </c>
      <c r="B475" s="104">
        <v>41478</v>
      </c>
      <c r="C475" s="91" t="s">
        <v>406</v>
      </c>
      <c r="D475" s="105">
        <v>297</v>
      </c>
      <c r="E475" s="413">
        <f t="shared" si="7"/>
        <v>49.086041053779788</v>
      </c>
      <c r="F475" s="91" t="s">
        <v>403</v>
      </c>
      <c r="G475" s="91" t="s">
        <v>106</v>
      </c>
      <c r="H475" s="355" t="s">
        <v>1071</v>
      </c>
      <c r="I475" s="91" t="s">
        <v>1110</v>
      </c>
      <c r="J475" s="91" t="s">
        <v>291</v>
      </c>
      <c r="K475" s="355" t="s">
        <v>34</v>
      </c>
    </row>
    <row r="476" spans="1:11">
      <c r="A476" s="220">
        <v>3738</v>
      </c>
      <c r="B476" s="104">
        <v>41479</v>
      </c>
      <c r="C476" s="91" t="s">
        <v>300</v>
      </c>
      <c r="D476" s="105">
        <v>49.8</v>
      </c>
      <c r="E476" s="413">
        <f t="shared" si="7"/>
        <v>8.2305887019469139</v>
      </c>
      <c r="F476" s="91" t="s">
        <v>403</v>
      </c>
      <c r="G476" s="91" t="s">
        <v>106</v>
      </c>
      <c r="H476" s="355" t="s">
        <v>1071</v>
      </c>
      <c r="I476" s="91" t="s">
        <v>1110</v>
      </c>
      <c r="J476" s="91" t="s">
        <v>291</v>
      </c>
      <c r="K476" s="355" t="s">
        <v>34</v>
      </c>
    </row>
    <row r="477" spans="1:11">
      <c r="A477" s="220">
        <v>3737</v>
      </c>
      <c r="B477" s="104">
        <v>41479</v>
      </c>
      <c r="C477" s="91" t="s">
        <v>408</v>
      </c>
      <c r="D477" s="105">
        <v>80</v>
      </c>
      <c r="E477" s="413">
        <f t="shared" si="7"/>
        <v>13.221829240075364</v>
      </c>
      <c r="F477" s="91" t="s">
        <v>403</v>
      </c>
      <c r="G477" s="91" t="s">
        <v>106</v>
      </c>
      <c r="H477" s="355" t="s">
        <v>1071</v>
      </c>
      <c r="I477" s="91" t="s">
        <v>1110</v>
      </c>
      <c r="J477" s="91" t="s">
        <v>291</v>
      </c>
      <c r="K477" s="355" t="s">
        <v>34</v>
      </c>
    </row>
    <row r="478" spans="1:11" ht="15">
      <c r="A478" s="220">
        <v>3760</v>
      </c>
      <c r="B478" s="104">
        <v>41480</v>
      </c>
      <c r="C478" s="91" t="s">
        <v>210</v>
      </c>
      <c r="D478" s="423"/>
      <c r="E478" s="413">
        <v>3845</v>
      </c>
      <c r="F478" s="91" t="s">
        <v>222</v>
      </c>
      <c r="G478" s="91" t="s">
        <v>110</v>
      </c>
      <c r="H478" s="408" t="s">
        <v>122</v>
      </c>
      <c r="I478" s="91" t="s">
        <v>1110</v>
      </c>
      <c r="J478" s="91" t="s">
        <v>102</v>
      </c>
      <c r="K478" s="356"/>
    </row>
    <row r="479" spans="1:11">
      <c r="A479" s="220">
        <v>3740</v>
      </c>
      <c r="B479" s="104">
        <v>41480</v>
      </c>
      <c r="C479" s="91" t="s">
        <v>180</v>
      </c>
      <c r="D479" s="105">
        <v>50</v>
      </c>
      <c r="E479" s="413">
        <f>D479/6.0506</f>
        <v>8.2636432750471016</v>
      </c>
      <c r="F479" s="91" t="s">
        <v>403</v>
      </c>
      <c r="G479" s="91" t="s">
        <v>114</v>
      </c>
      <c r="H479" s="355" t="s">
        <v>1071</v>
      </c>
      <c r="I479" s="91" t="s">
        <v>1110</v>
      </c>
      <c r="J479" s="91" t="s">
        <v>291</v>
      </c>
      <c r="K479" s="356" t="s">
        <v>34</v>
      </c>
    </row>
    <row r="480" spans="1:11">
      <c r="A480" s="219">
        <v>3770</v>
      </c>
      <c r="B480" s="106">
        <v>41480</v>
      </c>
      <c r="C480" s="92" t="s">
        <v>690</v>
      </c>
      <c r="D480" s="105"/>
      <c r="E480" s="413">
        <v>2845.47</v>
      </c>
      <c r="F480" s="92" t="s">
        <v>691</v>
      </c>
      <c r="G480" s="92" t="s">
        <v>112</v>
      </c>
      <c r="H480" s="355" t="s">
        <v>1071</v>
      </c>
      <c r="I480" s="91" t="s">
        <v>1110</v>
      </c>
      <c r="J480" s="92" t="s">
        <v>102</v>
      </c>
      <c r="K480" s="355" t="s">
        <v>29</v>
      </c>
    </row>
    <row r="481" spans="1:15">
      <c r="A481" s="220">
        <v>3755</v>
      </c>
      <c r="B481" s="104">
        <v>41486</v>
      </c>
      <c r="C481" s="91" t="s">
        <v>239</v>
      </c>
      <c r="D481" s="105">
        <v>5500</v>
      </c>
      <c r="E481" s="413">
        <f t="shared" ref="E481:E489" si="8">D481/6.0506</f>
        <v>909.00076025518126</v>
      </c>
      <c r="F481" s="91" t="s">
        <v>509</v>
      </c>
      <c r="G481" s="91" t="s">
        <v>108</v>
      </c>
      <c r="H481" s="355" t="s">
        <v>1071</v>
      </c>
      <c r="I481" s="91" t="s">
        <v>1110</v>
      </c>
      <c r="J481" s="91" t="s">
        <v>291</v>
      </c>
      <c r="K481" s="355" t="s">
        <v>32</v>
      </c>
    </row>
    <row r="482" spans="1:15">
      <c r="A482" s="220">
        <v>3753</v>
      </c>
      <c r="B482" s="104">
        <v>41486</v>
      </c>
      <c r="C482" s="91" t="s">
        <v>1121</v>
      </c>
      <c r="D482" s="105">
        <v>13000</v>
      </c>
      <c r="E482" s="413">
        <f t="shared" si="8"/>
        <v>2148.5472515122465</v>
      </c>
      <c r="F482" s="91" t="s">
        <v>304</v>
      </c>
      <c r="G482" s="91" t="s">
        <v>108</v>
      </c>
      <c r="H482" s="355" t="s">
        <v>1071</v>
      </c>
      <c r="I482" s="91" t="s">
        <v>1110</v>
      </c>
      <c r="J482" s="91" t="s">
        <v>291</v>
      </c>
      <c r="K482" s="356" t="s">
        <v>30</v>
      </c>
    </row>
    <row r="483" spans="1:15">
      <c r="A483" s="220">
        <v>3741</v>
      </c>
      <c r="B483" s="104">
        <v>41486</v>
      </c>
      <c r="C483" s="91" t="s">
        <v>1132</v>
      </c>
      <c r="D483" s="105">
        <v>6000</v>
      </c>
      <c r="E483" s="413">
        <f t="shared" si="8"/>
        <v>991.63719300565231</v>
      </c>
      <c r="F483" s="91" t="s">
        <v>404</v>
      </c>
      <c r="G483" s="91" t="s">
        <v>108</v>
      </c>
      <c r="H483" s="356" t="s">
        <v>119</v>
      </c>
      <c r="I483" s="91" t="s">
        <v>1110</v>
      </c>
      <c r="J483" s="91" t="s">
        <v>291</v>
      </c>
      <c r="K483" s="355"/>
    </row>
    <row r="484" spans="1:15">
      <c r="A484" s="220">
        <v>3754</v>
      </c>
      <c r="B484" s="104">
        <v>41486</v>
      </c>
      <c r="C484" s="91" t="s">
        <v>238</v>
      </c>
      <c r="D484" s="105">
        <v>3000</v>
      </c>
      <c r="E484" s="413">
        <f t="shared" si="8"/>
        <v>495.81859650282615</v>
      </c>
      <c r="F484" s="91" t="s">
        <v>510</v>
      </c>
      <c r="G484" s="91" t="s">
        <v>108</v>
      </c>
      <c r="H484" s="355" t="s">
        <v>118</v>
      </c>
      <c r="I484" s="91" t="s">
        <v>1110</v>
      </c>
      <c r="J484" s="91" t="s">
        <v>291</v>
      </c>
      <c r="K484" s="355" t="s">
        <v>23</v>
      </c>
    </row>
    <row r="485" spans="1:15">
      <c r="A485" s="220">
        <v>3769</v>
      </c>
      <c r="B485" s="104">
        <v>41486</v>
      </c>
      <c r="C485" s="91" t="s">
        <v>286</v>
      </c>
      <c r="D485" s="105">
        <v>76.400000000000006</v>
      </c>
      <c r="E485" s="413">
        <f t="shared" si="8"/>
        <v>12.626846924271973</v>
      </c>
      <c r="F485" s="91" t="s">
        <v>403</v>
      </c>
      <c r="G485" s="91" t="s">
        <v>114</v>
      </c>
      <c r="H485" s="355" t="s">
        <v>1071</v>
      </c>
      <c r="I485" s="91" t="s">
        <v>1110</v>
      </c>
      <c r="J485" s="123" t="s">
        <v>188</v>
      </c>
      <c r="K485" s="356" t="s">
        <v>34</v>
      </c>
    </row>
    <row r="486" spans="1:15">
      <c r="A486" s="220">
        <v>3757</v>
      </c>
      <c r="B486" s="104">
        <v>41486</v>
      </c>
      <c r="C486" s="91" t="s">
        <v>1145</v>
      </c>
      <c r="D486" s="105">
        <v>4500</v>
      </c>
      <c r="E486" s="413">
        <f t="shared" si="8"/>
        <v>743.72789475423917</v>
      </c>
      <c r="F486" s="91" t="s">
        <v>183</v>
      </c>
      <c r="G486" s="92" t="s">
        <v>111</v>
      </c>
      <c r="H486" s="356" t="s">
        <v>119</v>
      </c>
      <c r="I486" s="91" t="s">
        <v>1110</v>
      </c>
      <c r="J486" s="91" t="s">
        <v>101</v>
      </c>
      <c r="K486" s="355"/>
    </row>
    <row r="487" spans="1:15">
      <c r="A487" s="220">
        <v>3758</v>
      </c>
      <c r="B487" s="104">
        <v>41486</v>
      </c>
      <c r="C487" s="91" t="s">
        <v>1155</v>
      </c>
      <c r="D487" s="105">
        <v>4500</v>
      </c>
      <c r="E487" s="413">
        <f t="shared" si="8"/>
        <v>743.72789475423917</v>
      </c>
      <c r="F487" s="91" t="s">
        <v>182</v>
      </c>
      <c r="G487" s="92" t="s">
        <v>111</v>
      </c>
      <c r="H487" s="356" t="s">
        <v>119</v>
      </c>
      <c r="I487" s="91" t="s">
        <v>1110</v>
      </c>
      <c r="J487" s="91" t="s">
        <v>101</v>
      </c>
      <c r="K487" s="355"/>
    </row>
    <row r="488" spans="1:15">
      <c r="A488" s="220">
        <v>3756</v>
      </c>
      <c r="B488" s="104">
        <v>41486</v>
      </c>
      <c r="C488" s="91" t="s">
        <v>1170</v>
      </c>
      <c r="D488" s="105">
        <v>12000</v>
      </c>
      <c r="E488" s="413">
        <f t="shared" si="8"/>
        <v>1983.2743860113046</v>
      </c>
      <c r="F488" s="91" t="s">
        <v>184</v>
      </c>
      <c r="G488" s="92" t="s">
        <v>111</v>
      </c>
      <c r="H488" s="356" t="s">
        <v>119</v>
      </c>
      <c r="I488" s="91" t="s">
        <v>1110</v>
      </c>
      <c r="J488" s="91" t="s">
        <v>101</v>
      </c>
      <c r="K488" s="355"/>
    </row>
    <row r="489" spans="1:15">
      <c r="A489" s="220">
        <v>3730</v>
      </c>
      <c r="B489" s="104">
        <v>41486</v>
      </c>
      <c r="C489" s="91" t="s">
        <v>237</v>
      </c>
      <c r="D489" s="105">
        <v>51.4</v>
      </c>
      <c r="E489" s="413">
        <f t="shared" si="8"/>
        <v>8.4950252867484206</v>
      </c>
      <c r="F489" s="91" t="s">
        <v>264</v>
      </c>
      <c r="G489" s="91" t="s">
        <v>106</v>
      </c>
      <c r="H489" s="356" t="s">
        <v>119</v>
      </c>
      <c r="I489" s="91" t="s">
        <v>1110</v>
      </c>
      <c r="J489" s="91" t="s">
        <v>101</v>
      </c>
      <c r="K489" s="355"/>
    </row>
    <row r="490" spans="1:15">
      <c r="A490" s="352">
        <v>3794</v>
      </c>
      <c r="B490" s="354">
        <v>41487</v>
      </c>
      <c r="C490" s="257" t="s">
        <v>893</v>
      </c>
      <c r="D490" s="276">
        <v>7733</v>
      </c>
      <c r="E490" s="413">
        <f>D490/6.0406</f>
        <v>1280.1708439558984</v>
      </c>
      <c r="F490" s="257" t="s">
        <v>638</v>
      </c>
      <c r="G490" s="91" t="s">
        <v>114</v>
      </c>
      <c r="H490" s="355" t="s">
        <v>118</v>
      </c>
      <c r="I490" s="91" t="s">
        <v>1110</v>
      </c>
      <c r="J490" s="257" t="s">
        <v>894</v>
      </c>
      <c r="K490" s="355" t="s">
        <v>23</v>
      </c>
    </row>
    <row r="491" spans="1:15">
      <c r="A491" s="352">
        <v>3789</v>
      </c>
      <c r="B491" s="354">
        <v>41488</v>
      </c>
      <c r="C491" s="257" t="s">
        <v>897</v>
      </c>
      <c r="D491" s="276">
        <v>713.6</v>
      </c>
      <c r="E491" s="413">
        <f>D491/6.0406</f>
        <v>118.13396020262887</v>
      </c>
      <c r="F491" s="257" t="s">
        <v>403</v>
      </c>
      <c r="G491" s="257" t="s">
        <v>106</v>
      </c>
      <c r="H491" s="355" t="s">
        <v>1071</v>
      </c>
      <c r="I491" s="91" t="s">
        <v>1110</v>
      </c>
      <c r="J491" s="257" t="s">
        <v>188</v>
      </c>
      <c r="K491" s="355" t="s">
        <v>34</v>
      </c>
    </row>
    <row r="492" spans="1:15" ht="15">
      <c r="A492" s="352">
        <v>3797</v>
      </c>
      <c r="B492" s="354">
        <v>41491</v>
      </c>
      <c r="C492" s="257" t="s">
        <v>296</v>
      </c>
      <c r="D492" s="424"/>
      <c r="E492" s="413">
        <v>200</v>
      </c>
      <c r="F492" s="257" t="s">
        <v>185</v>
      </c>
      <c r="G492" s="257" t="s">
        <v>113</v>
      </c>
      <c r="H492" s="408" t="s">
        <v>123</v>
      </c>
      <c r="I492" s="91" t="s">
        <v>1110</v>
      </c>
      <c r="J492" s="257" t="s">
        <v>984</v>
      </c>
      <c r="K492" s="355"/>
    </row>
    <row r="493" spans="1:15">
      <c r="A493" s="352">
        <v>3783</v>
      </c>
      <c r="B493" s="354">
        <v>41492</v>
      </c>
      <c r="C493" s="257" t="s">
        <v>513</v>
      </c>
      <c r="D493" s="276">
        <v>50</v>
      </c>
      <c r="E493" s="413">
        <f>D493/6.0406</f>
        <v>8.277323444690925</v>
      </c>
      <c r="F493" s="257" t="s">
        <v>403</v>
      </c>
      <c r="G493" s="91" t="s">
        <v>114</v>
      </c>
      <c r="H493" s="355" t="s">
        <v>1071</v>
      </c>
      <c r="I493" s="91" t="s">
        <v>1110</v>
      </c>
      <c r="J493" s="257" t="s">
        <v>188</v>
      </c>
      <c r="K493" s="356" t="s">
        <v>34</v>
      </c>
    </row>
    <row r="494" spans="1:15">
      <c r="A494" s="352">
        <v>3796</v>
      </c>
      <c r="B494" s="354">
        <v>41493</v>
      </c>
      <c r="C494" s="257" t="s">
        <v>237</v>
      </c>
      <c r="D494" s="276">
        <v>8</v>
      </c>
      <c r="E494" s="413">
        <f>D494/6.0406</f>
        <v>1.3243717511505479</v>
      </c>
      <c r="F494" s="257" t="s">
        <v>264</v>
      </c>
      <c r="G494" s="268" t="s">
        <v>106</v>
      </c>
      <c r="H494" s="356" t="s">
        <v>119</v>
      </c>
      <c r="I494" s="91" t="s">
        <v>1110</v>
      </c>
      <c r="J494" s="257" t="s">
        <v>894</v>
      </c>
      <c r="K494" s="356"/>
    </row>
    <row r="495" spans="1:15">
      <c r="A495" s="352">
        <v>3795</v>
      </c>
      <c r="B495" s="354">
        <v>41494</v>
      </c>
      <c r="C495" s="257" t="s">
        <v>900</v>
      </c>
      <c r="D495" s="276">
        <v>3850</v>
      </c>
      <c r="E495" s="413">
        <f>D495/6.0406</f>
        <v>637.35390524120112</v>
      </c>
      <c r="F495" s="257" t="s">
        <v>264</v>
      </c>
      <c r="G495" s="268" t="s">
        <v>106</v>
      </c>
      <c r="H495" s="356" t="s">
        <v>119</v>
      </c>
      <c r="I495" s="91" t="s">
        <v>1110</v>
      </c>
      <c r="J495" s="257" t="s">
        <v>894</v>
      </c>
      <c r="K495" s="356"/>
    </row>
    <row r="496" spans="1:15" s="218" customFormat="1">
      <c r="A496" s="352">
        <v>3785</v>
      </c>
      <c r="B496" s="354">
        <v>41500</v>
      </c>
      <c r="C496" s="257" t="s">
        <v>513</v>
      </c>
      <c r="D496" s="276">
        <v>50</v>
      </c>
      <c r="E496" s="413">
        <f>D496/6.0406</f>
        <v>8.277323444690925</v>
      </c>
      <c r="F496" s="257" t="s">
        <v>403</v>
      </c>
      <c r="G496" s="91" t="s">
        <v>114</v>
      </c>
      <c r="H496" s="355" t="s">
        <v>1071</v>
      </c>
      <c r="I496" s="91" t="s">
        <v>1110</v>
      </c>
      <c r="J496" s="257" t="s">
        <v>188</v>
      </c>
      <c r="K496" s="356" t="s">
        <v>34</v>
      </c>
      <c r="L496" s="416"/>
      <c r="M496" s="88"/>
      <c r="N496" s="88"/>
      <c r="O496" s="88"/>
    </row>
    <row r="497" spans="1:15" s="218" customFormat="1" ht="15">
      <c r="A497" s="352">
        <v>3798</v>
      </c>
      <c r="B497" s="354">
        <v>41506</v>
      </c>
      <c r="C497" s="257" t="s">
        <v>904</v>
      </c>
      <c r="D497" s="424"/>
      <c r="E497" s="413">
        <v>45</v>
      </c>
      <c r="F497" s="257" t="s">
        <v>363</v>
      </c>
      <c r="G497" s="91" t="s">
        <v>114</v>
      </c>
      <c r="H497" s="355" t="s">
        <v>1071</v>
      </c>
      <c r="I497" s="91" t="s">
        <v>1110</v>
      </c>
      <c r="J497" s="257" t="s">
        <v>984</v>
      </c>
      <c r="K497" s="356" t="s">
        <v>29</v>
      </c>
      <c r="L497" s="416"/>
      <c r="M497" s="88"/>
      <c r="N497" s="88"/>
      <c r="O497" s="88"/>
    </row>
    <row r="498" spans="1:15" s="218" customFormat="1">
      <c r="A498" s="352">
        <v>3786</v>
      </c>
      <c r="B498" s="354">
        <v>41507</v>
      </c>
      <c r="C498" s="257" t="s">
        <v>513</v>
      </c>
      <c r="D498" s="276">
        <v>50</v>
      </c>
      <c r="E498" s="413">
        <f>D498/6.0406</f>
        <v>8.277323444690925</v>
      </c>
      <c r="F498" s="257" t="s">
        <v>403</v>
      </c>
      <c r="G498" s="91" t="s">
        <v>114</v>
      </c>
      <c r="H498" s="355" t="s">
        <v>1071</v>
      </c>
      <c r="I498" s="91" t="s">
        <v>1110</v>
      </c>
      <c r="J498" s="257" t="s">
        <v>188</v>
      </c>
      <c r="K498" s="356" t="s">
        <v>34</v>
      </c>
      <c r="L498" s="416"/>
      <c r="M498" s="88"/>
      <c r="N498" s="88"/>
      <c r="O498" s="88"/>
    </row>
    <row r="499" spans="1:15" s="218" customFormat="1" ht="15">
      <c r="A499" s="352">
        <v>3898</v>
      </c>
      <c r="B499" s="354">
        <v>41511</v>
      </c>
      <c r="C499" s="257" t="s">
        <v>714</v>
      </c>
      <c r="D499" s="424"/>
      <c r="E499" s="413">
        <v>95</v>
      </c>
      <c r="F499" s="257" t="s">
        <v>715</v>
      </c>
      <c r="G499" s="257" t="s">
        <v>109</v>
      </c>
      <c r="H499" s="355" t="s">
        <v>118</v>
      </c>
      <c r="I499" s="91" t="s">
        <v>1110</v>
      </c>
      <c r="J499" s="257" t="s">
        <v>102</v>
      </c>
      <c r="K499" s="355" t="s">
        <v>23</v>
      </c>
      <c r="L499" s="416"/>
      <c r="M499" s="88"/>
      <c r="N499" s="88"/>
      <c r="O499" s="88"/>
    </row>
    <row r="500" spans="1:15" s="218" customFormat="1">
      <c r="A500" s="352">
        <v>3787</v>
      </c>
      <c r="B500" s="354">
        <v>41514</v>
      </c>
      <c r="C500" s="257" t="s">
        <v>513</v>
      </c>
      <c r="D500" s="276">
        <v>50</v>
      </c>
      <c r="E500" s="413">
        <f>D500/6.0406</f>
        <v>8.277323444690925</v>
      </c>
      <c r="F500" s="257" t="s">
        <v>403</v>
      </c>
      <c r="G500" s="91" t="s">
        <v>114</v>
      </c>
      <c r="H500" s="355" t="s">
        <v>1071</v>
      </c>
      <c r="I500" s="91" t="s">
        <v>1110</v>
      </c>
      <c r="J500" s="257" t="s">
        <v>188</v>
      </c>
      <c r="K500" s="356" t="s">
        <v>34</v>
      </c>
      <c r="L500" s="416"/>
      <c r="M500" s="88"/>
      <c r="N500" s="88"/>
      <c r="O500" s="88"/>
    </row>
    <row r="501" spans="1:15" s="218" customFormat="1" ht="15">
      <c r="A501" s="352">
        <v>3799</v>
      </c>
      <c r="B501" s="354">
        <v>41514</v>
      </c>
      <c r="C501" s="268" t="s">
        <v>31</v>
      </c>
      <c r="D501" s="424"/>
      <c r="E501" s="413">
        <v>407</v>
      </c>
      <c r="F501" s="257" t="s">
        <v>806</v>
      </c>
      <c r="G501" s="91" t="s">
        <v>132</v>
      </c>
      <c r="H501" s="355" t="s">
        <v>1071</v>
      </c>
      <c r="I501" s="91" t="s">
        <v>1110</v>
      </c>
      <c r="J501" s="257" t="s">
        <v>984</v>
      </c>
      <c r="K501" s="355" t="s">
        <v>30</v>
      </c>
      <c r="L501" s="416"/>
      <c r="M501" s="88"/>
      <c r="N501" s="88"/>
      <c r="O501" s="88"/>
    </row>
    <row r="502" spans="1:15" s="218" customFormat="1">
      <c r="A502" s="352">
        <v>3793</v>
      </c>
      <c r="B502" s="354">
        <v>41514</v>
      </c>
      <c r="C502" s="257" t="s">
        <v>807</v>
      </c>
      <c r="D502" s="276">
        <v>40</v>
      </c>
      <c r="E502" s="413">
        <f>D502/6.0406</f>
        <v>6.6218587557527391</v>
      </c>
      <c r="F502" s="257" t="s">
        <v>510</v>
      </c>
      <c r="G502" s="91" t="s">
        <v>132</v>
      </c>
      <c r="H502" s="355" t="s">
        <v>1071</v>
      </c>
      <c r="I502" s="91" t="s">
        <v>1110</v>
      </c>
      <c r="J502" s="257" t="s">
        <v>188</v>
      </c>
      <c r="K502" s="356" t="s">
        <v>29</v>
      </c>
      <c r="L502" s="416"/>
      <c r="M502" s="88"/>
      <c r="N502" s="88"/>
      <c r="O502" s="88"/>
    </row>
    <row r="503" spans="1:15" s="218" customFormat="1">
      <c r="A503" s="352">
        <v>3792</v>
      </c>
      <c r="B503" s="354">
        <v>41516</v>
      </c>
      <c r="C503" s="257" t="s">
        <v>1117</v>
      </c>
      <c r="D503" s="276">
        <v>13000</v>
      </c>
      <c r="E503" s="413">
        <f>D503/6.0406</f>
        <v>2152.1040956196402</v>
      </c>
      <c r="F503" s="257" t="s">
        <v>304</v>
      </c>
      <c r="G503" s="91" t="s">
        <v>108</v>
      </c>
      <c r="H503" s="355" t="s">
        <v>1071</v>
      </c>
      <c r="I503" s="91" t="s">
        <v>1110</v>
      </c>
      <c r="J503" s="257" t="s">
        <v>188</v>
      </c>
      <c r="K503" s="356" t="s">
        <v>30</v>
      </c>
      <c r="L503" s="416"/>
      <c r="M503" s="88"/>
      <c r="N503" s="88"/>
      <c r="O503" s="88"/>
    </row>
    <row r="504" spans="1:15" s="218" customFormat="1">
      <c r="A504" s="352">
        <v>3788</v>
      </c>
      <c r="B504" s="354">
        <v>41516</v>
      </c>
      <c r="C504" s="257" t="s">
        <v>513</v>
      </c>
      <c r="D504" s="276">
        <v>50</v>
      </c>
      <c r="E504" s="413">
        <f>D504/6.0406</f>
        <v>8.277323444690925</v>
      </c>
      <c r="F504" s="257" t="s">
        <v>403</v>
      </c>
      <c r="G504" s="91" t="s">
        <v>114</v>
      </c>
      <c r="H504" s="355" t="s">
        <v>1071</v>
      </c>
      <c r="I504" s="91" t="s">
        <v>1110</v>
      </c>
      <c r="J504" s="257" t="s">
        <v>188</v>
      </c>
      <c r="K504" s="356" t="s">
        <v>34</v>
      </c>
      <c r="L504" s="416"/>
      <c r="M504" s="88"/>
      <c r="N504" s="88"/>
      <c r="O504" s="88"/>
    </row>
    <row r="505" spans="1:15" s="218" customFormat="1">
      <c r="A505" s="352">
        <v>3874</v>
      </c>
      <c r="B505" s="354">
        <v>41518</v>
      </c>
      <c r="C505" s="257" t="s">
        <v>718</v>
      </c>
      <c r="D505" s="276">
        <v>450</v>
      </c>
      <c r="E505" s="413">
        <f>D505/6.0121</f>
        <v>74.849054406945996</v>
      </c>
      <c r="F505" s="257" t="s">
        <v>641</v>
      </c>
      <c r="G505" s="257" t="s">
        <v>106</v>
      </c>
      <c r="H505" s="355" t="s">
        <v>1071</v>
      </c>
      <c r="I505" s="91" t="s">
        <v>1110</v>
      </c>
      <c r="J505" s="257" t="s">
        <v>188</v>
      </c>
      <c r="K505" s="355" t="s">
        <v>34</v>
      </c>
      <c r="L505" s="416"/>
      <c r="M505" s="88"/>
      <c r="N505" s="88"/>
      <c r="O505" s="88"/>
    </row>
    <row r="506" spans="1:15" s="218" customFormat="1">
      <c r="A506" s="352">
        <v>3871</v>
      </c>
      <c r="B506" s="354">
        <v>41519</v>
      </c>
      <c r="C506" s="257" t="s">
        <v>820</v>
      </c>
      <c r="D506" s="276">
        <v>3000</v>
      </c>
      <c r="E506" s="413">
        <f>D506/6.0121</f>
        <v>498.99369604630658</v>
      </c>
      <c r="F506" s="257" t="s">
        <v>510</v>
      </c>
      <c r="G506" s="91" t="s">
        <v>108</v>
      </c>
      <c r="H506" s="355" t="s">
        <v>118</v>
      </c>
      <c r="I506" s="91" t="s">
        <v>1110</v>
      </c>
      <c r="J506" s="257" t="s">
        <v>188</v>
      </c>
      <c r="K506" s="356" t="s">
        <v>27</v>
      </c>
      <c r="L506" s="416"/>
      <c r="M506" s="88"/>
      <c r="N506" s="88"/>
      <c r="O506" s="88"/>
    </row>
    <row r="507" spans="1:15" s="218" customFormat="1">
      <c r="A507" s="352">
        <v>3872</v>
      </c>
      <c r="B507" s="354">
        <v>41519</v>
      </c>
      <c r="C507" s="257" t="s">
        <v>513</v>
      </c>
      <c r="D507" s="276">
        <v>50</v>
      </c>
      <c r="E507" s="413">
        <f>D507/6.0121</f>
        <v>8.3165616007717773</v>
      </c>
      <c r="F507" s="257" t="s">
        <v>403</v>
      </c>
      <c r="G507" s="91" t="s">
        <v>114</v>
      </c>
      <c r="H507" s="355" t="s">
        <v>1071</v>
      </c>
      <c r="I507" s="91" t="s">
        <v>1110</v>
      </c>
      <c r="J507" s="257" t="s">
        <v>188</v>
      </c>
      <c r="K507" s="356" t="s">
        <v>34</v>
      </c>
      <c r="L507" s="416"/>
      <c r="M507" s="88"/>
      <c r="N507" s="88"/>
      <c r="O507" s="88"/>
    </row>
    <row r="508" spans="1:15" s="218" customFormat="1">
      <c r="A508" s="352">
        <v>3891</v>
      </c>
      <c r="B508" s="354">
        <v>41519</v>
      </c>
      <c r="C508" s="257" t="s">
        <v>1179</v>
      </c>
      <c r="D508" s="276">
        <v>2000</v>
      </c>
      <c r="E508" s="413">
        <f>D508/6.0121</f>
        <v>332.66246403087109</v>
      </c>
      <c r="F508" s="257" t="s">
        <v>818</v>
      </c>
      <c r="G508" s="92" t="s">
        <v>111</v>
      </c>
      <c r="H508" s="356" t="s">
        <v>119</v>
      </c>
      <c r="I508" s="91" t="s">
        <v>1110</v>
      </c>
      <c r="J508" s="268" t="s">
        <v>894</v>
      </c>
      <c r="K508" s="355"/>
      <c r="L508" s="416"/>
      <c r="M508" s="88"/>
      <c r="N508" s="88"/>
      <c r="O508" s="88"/>
    </row>
    <row r="509" spans="1:15" s="218" customFormat="1">
      <c r="A509" s="352">
        <v>3869</v>
      </c>
      <c r="B509" s="354">
        <v>41519</v>
      </c>
      <c r="C509" s="257" t="s">
        <v>821</v>
      </c>
      <c r="D509" s="276">
        <v>30</v>
      </c>
      <c r="E509" s="413">
        <f>D509/6.0121</f>
        <v>4.9899369604630657</v>
      </c>
      <c r="F509" s="257" t="s">
        <v>510</v>
      </c>
      <c r="G509" s="91" t="s">
        <v>132</v>
      </c>
      <c r="H509" s="355" t="s">
        <v>1071</v>
      </c>
      <c r="I509" s="91" t="s">
        <v>1110</v>
      </c>
      <c r="J509" s="257" t="s">
        <v>188</v>
      </c>
      <c r="K509" s="356" t="s">
        <v>29</v>
      </c>
      <c r="L509" s="416"/>
      <c r="M509" s="88"/>
      <c r="N509" s="88"/>
      <c r="O509" s="88"/>
    </row>
    <row r="510" spans="1:15" s="218" customFormat="1" ht="15">
      <c r="A510" s="352">
        <v>3900</v>
      </c>
      <c r="B510" s="354">
        <v>41520</v>
      </c>
      <c r="C510" s="257" t="s">
        <v>824</v>
      </c>
      <c r="D510" s="424"/>
      <c r="E510" s="413">
        <v>110.41</v>
      </c>
      <c r="F510" s="257" t="s">
        <v>825</v>
      </c>
      <c r="G510" s="91" t="s">
        <v>52</v>
      </c>
      <c r="H510" s="355" t="s">
        <v>1071</v>
      </c>
      <c r="I510" s="91" t="s">
        <v>1110</v>
      </c>
      <c r="J510" s="268" t="s">
        <v>102</v>
      </c>
      <c r="K510" s="355" t="s">
        <v>29</v>
      </c>
      <c r="L510" s="416"/>
      <c r="M510" s="88"/>
      <c r="N510" s="88"/>
      <c r="O510" s="88"/>
    </row>
    <row r="511" spans="1:15" s="218" customFormat="1">
      <c r="A511" s="352">
        <v>3877</v>
      </c>
      <c r="B511" s="354">
        <v>41520</v>
      </c>
      <c r="C511" s="257" t="s">
        <v>513</v>
      </c>
      <c r="D511" s="276">
        <v>50</v>
      </c>
      <c r="E511" s="413">
        <f>D511/6.0121</f>
        <v>8.3165616007717773</v>
      </c>
      <c r="F511" s="257" t="s">
        <v>403</v>
      </c>
      <c r="G511" s="91" t="s">
        <v>114</v>
      </c>
      <c r="H511" s="355" t="s">
        <v>1071</v>
      </c>
      <c r="I511" s="91" t="s">
        <v>1110</v>
      </c>
      <c r="J511" s="257" t="s">
        <v>188</v>
      </c>
      <c r="K511" s="356" t="s">
        <v>34</v>
      </c>
      <c r="L511" s="416"/>
      <c r="M511" s="88"/>
      <c r="N511" s="88"/>
      <c r="O511" s="88"/>
    </row>
    <row r="512" spans="1:15" s="218" customFormat="1">
      <c r="A512" s="352">
        <v>3853</v>
      </c>
      <c r="B512" s="354">
        <v>41520</v>
      </c>
      <c r="C512" s="257" t="s">
        <v>901</v>
      </c>
      <c r="D512" s="276">
        <v>1510</v>
      </c>
      <c r="E512" s="413">
        <f>D512/6.0121</f>
        <v>251.16016034330767</v>
      </c>
      <c r="F512" s="257" t="s">
        <v>489</v>
      </c>
      <c r="G512" s="91" t="s">
        <v>132</v>
      </c>
      <c r="H512" s="356" t="s">
        <v>119</v>
      </c>
      <c r="I512" s="91" t="s">
        <v>1110</v>
      </c>
      <c r="J512" s="257" t="s">
        <v>101</v>
      </c>
      <c r="K512" s="356"/>
      <c r="L512" s="416"/>
      <c r="M512" s="88"/>
      <c r="N512" s="88"/>
      <c r="O512" s="88"/>
    </row>
    <row r="513" spans="1:15" s="218" customFormat="1">
      <c r="A513" s="352">
        <v>3860</v>
      </c>
      <c r="B513" s="354">
        <v>41520</v>
      </c>
      <c r="C513" s="257" t="s">
        <v>826</v>
      </c>
      <c r="D513" s="276">
        <v>955</v>
      </c>
      <c r="E513" s="413">
        <f>D513/6.0121</f>
        <v>158.84632657474094</v>
      </c>
      <c r="F513" s="257" t="s">
        <v>264</v>
      </c>
      <c r="G513" s="268" t="s">
        <v>106</v>
      </c>
      <c r="H513" s="356" t="s">
        <v>119</v>
      </c>
      <c r="I513" s="91" t="s">
        <v>1110</v>
      </c>
      <c r="J513" s="257" t="s">
        <v>101</v>
      </c>
      <c r="K513" s="356"/>
      <c r="L513" s="416"/>
      <c r="M513" s="88"/>
      <c r="N513" s="88"/>
      <c r="O513" s="88"/>
    </row>
    <row r="514" spans="1:15" s="218" customFormat="1">
      <c r="A514" s="352">
        <v>3813</v>
      </c>
      <c r="B514" s="354">
        <v>41520</v>
      </c>
      <c r="C514" s="257" t="s">
        <v>827</v>
      </c>
      <c r="D514" s="276">
        <v>32</v>
      </c>
      <c r="E514" s="413">
        <f>D514/6.0121</f>
        <v>5.3225994244939372</v>
      </c>
      <c r="F514" s="257" t="s">
        <v>264</v>
      </c>
      <c r="G514" s="268" t="s">
        <v>106</v>
      </c>
      <c r="H514" s="356" t="s">
        <v>119</v>
      </c>
      <c r="I514" s="91" t="s">
        <v>1110</v>
      </c>
      <c r="J514" s="268" t="s">
        <v>101</v>
      </c>
      <c r="K514" s="356"/>
      <c r="L514" s="416"/>
      <c r="M514" s="88"/>
      <c r="N514" s="88"/>
      <c r="O514" s="88"/>
    </row>
    <row r="515" spans="1:15" s="218" customFormat="1">
      <c r="A515" s="352">
        <v>3812</v>
      </c>
      <c r="B515" s="354">
        <v>41520</v>
      </c>
      <c r="C515" s="257" t="s">
        <v>828</v>
      </c>
      <c r="D515" s="276">
        <v>4234</v>
      </c>
      <c r="E515" s="413">
        <f>D515/6.0121</f>
        <v>704.24643635335406</v>
      </c>
      <c r="F515" s="257" t="s">
        <v>264</v>
      </c>
      <c r="G515" s="268" t="s">
        <v>106</v>
      </c>
      <c r="H515" s="356" t="s">
        <v>119</v>
      </c>
      <c r="I515" s="91" t="s">
        <v>1110</v>
      </c>
      <c r="J515" s="268" t="s">
        <v>101</v>
      </c>
      <c r="K515" s="356"/>
      <c r="L515" s="416"/>
      <c r="M515" s="88"/>
      <c r="N515" s="88"/>
      <c r="O515" s="88"/>
    </row>
    <row r="516" spans="1:15" s="218" customFormat="1" ht="15">
      <c r="A516" s="352">
        <v>3940</v>
      </c>
      <c r="B516" s="354">
        <v>41520</v>
      </c>
      <c r="C516" s="268" t="s">
        <v>103</v>
      </c>
      <c r="D516" s="424"/>
      <c r="E516" s="413">
        <v>14500</v>
      </c>
      <c r="F516" s="257" t="s">
        <v>938</v>
      </c>
      <c r="G516" s="268" t="s">
        <v>133</v>
      </c>
      <c r="H516" s="355" t="s">
        <v>1072</v>
      </c>
      <c r="I516" s="91" t="s">
        <v>1110</v>
      </c>
      <c r="J516" s="257" t="s">
        <v>984</v>
      </c>
      <c r="K516" s="356"/>
      <c r="L516" s="416"/>
      <c r="M516" s="88"/>
      <c r="N516" s="88"/>
      <c r="O516" s="88"/>
    </row>
    <row r="517" spans="1:15" s="218" customFormat="1">
      <c r="A517" s="260">
        <v>3947</v>
      </c>
      <c r="B517" s="265">
        <v>41521</v>
      </c>
      <c r="C517" s="267" t="s">
        <v>1032</v>
      </c>
      <c r="D517" s="262">
        <v>900</v>
      </c>
      <c r="E517" s="413">
        <v>149.69999999999999</v>
      </c>
      <c r="F517" s="267" t="s">
        <v>469</v>
      </c>
      <c r="G517" s="267" t="s">
        <v>108</v>
      </c>
      <c r="H517" s="355" t="s">
        <v>1071</v>
      </c>
      <c r="I517" s="91" t="s">
        <v>1110</v>
      </c>
      <c r="J517" s="267" t="s">
        <v>894</v>
      </c>
      <c r="K517" s="356" t="s">
        <v>29</v>
      </c>
      <c r="L517" s="416" t="s">
        <v>402</v>
      </c>
      <c r="M517" s="267" t="s">
        <v>402</v>
      </c>
      <c r="N517" s="374" t="s">
        <v>402</v>
      </c>
    </row>
    <row r="518" spans="1:15" s="218" customFormat="1">
      <c r="A518" s="352">
        <v>3945</v>
      </c>
      <c r="B518" s="354">
        <v>41521</v>
      </c>
      <c r="C518" s="257" t="s">
        <v>1143</v>
      </c>
      <c r="D518" s="276">
        <v>4500</v>
      </c>
      <c r="E518" s="413">
        <f>D518/6.0121</f>
        <v>748.49054406945993</v>
      </c>
      <c r="F518" s="257" t="s">
        <v>183</v>
      </c>
      <c r="G518" s="92" t="s">
        <v>111</v>
      </c>
      <c r="H518" s="356" t="s">
        <v>119</v>
      </c>
      <c r="I518" s="91" t="s">
        <v>1110</v>
      </c>
      <c r="J518" s="91" t="s">
        <v>291</v>
      </c>
      <c r="K518" s="355"/>
      <c r="L518" s="416"/>
      <c r="M518" s="88"/>
      <c r="N518" s="88"/>
      <c r="O518" s="88"/>
    </row>
    <row r="519" spans="1:15" s="218" customFormat="1">
      <c r="A519" s="352">
        <v>3944</v>
      </c>
      <c r="B519" s="354">
        <v>41521</v>
      </c>
      <c r="C519" s="257" t="s">
        <v>1153</v>
      </c>
      <c r="D519" s="276">
        <v>4500</v>
      </c>
      <c r="E519" s="413">
        <f>D519/6.0121</f>
        <v>748.49054406945993</v>
      </c>
      <c r="F519" s="257" t="s">
        <v>182</v>
      </c>
      <c r="G519" s="92" t="s">
        <v>111</v>
      </c>
      <c r="H519" s="356" t="s">
        <v>119</v>
      </c>
      <c r="I519" s="91" t="s">
        <v>1110</v>
      </c>
      <c r="J519" s="91" t="s">
        <v>291</v>
      </c>
      <c r="K519" s="355"/>
      <c r="L519" s="416"/>
      <c r="M519" s="88"/>
      <c r="N519" s="88"/>
      <c r="O519" s="88"/>
    </row>
    <row r="520" spans="1:15" s="218" customFormat="1">
      <c r="A520" s="352">
        <v>3943</v>
      </c>
      <c r="B520" s="354">
        <v>41521</v>
      </c>
      <c r="C520" s="257" t="s">
        <v>1166</v>
      </c>
      <c r="D520" s="276">
        <v>12000</v>
      </c>
      <c r="E520" s="413">
        <f>D520/6.0121</f>
        <v>1995.9747841852263</v>
      </c>
      <c r="F520" s="257" t="s">
        <v>184</v>
      </c>
      <c r="G520" s="92" t="s">
        <v>111</v>
      </c>
      <c r="H520" s="356" t="s">
        <v>119</v>
      </c>
      <c r="I520" s="91" t="s">
        <v>1110</v>
      </c>
      <c r="J520" s="91" t="s">
        <v>291</v>
      </c>
      <c r="K520" s="355"/>
      <c r="L520" s="416"/>
      <c r="M520" s="88"/>
      <c r="N520" s="88"/>
      <c r="O520" s="269"/>
    </row>
    <row r="521" spans="1:15" s="218" customFormat="1" ht="15">
      <c r="A521" s="352">
        <v>3901</v>
      </c>
      <c r="B521" s="354">
        <v>41521</v>
      </c>
      <c r="C521" s="257" t="s">
        <v>829</v>
      </c>
      <c r="D521" s="424"/>
      <c r="E521" s="413">
        <v>1711.8</v>
      </c>
      <c r="F521" s="257" t="s">
        <v>754</v>
      </c>
      <c r="G521" s="91" t="s">
        <v>132</v>
      </c>
      <c r="H521" s="355" t="s">
        <v>1071</v>
      </c>
      <c r="I521" s="91" t="s">
        <v>1110</v>
      </c>
      <c r="J521" s="257" t="s">
        <v>102</v>
      </c>
      <c r="K521" s="356" t="s">
        <v>29</v>
      </c>
      <c r="L521" s="416"/>
      <c r="M521" s="88"/>
      <c r="N521" s="88"/>
      <c r="O521" s="88"/>
    </row>
    <row r="522" spans="1:15" s="218" customFormat="1" ht="15">
      <c r="A522" s="352">
        <v>3899</v>
      </c>
      <c r="B522" s="354">
        <v>41523</v>
      </c>
      <c r="C522" s="257" t="s">
        <v>833</v>
      </c>
      <c r="D522" s="424"/>
      <c r="E522" s="413">
        <v>30.71</v>
      </c>
      <c r="F522" s="257" t="s">
        <v>491</v>
      </c>
      <c r="G522" s="257" t="s">
        <v>111</v>
      </c>
      <c r="H522" s="355" t="s">
        <v>1071</v>
      </c>
      <c r="I522" s="91" t="s">
        <v>1110</v>
      </c>
      <c r="J522" s="257" t="s">
        <v>102</v>
      </c>
      <c r="K522" s="356" t="s">
        <v>36</v>
      </c>
      <c r="L522" s="416"/>
      <c r="M522" s="88"/>
      <c r="N522" s="88"/>
      <c r="O522" s="88"/>
    </row>
    <row r="523" spans="1:15" s="218" customFormat="1">
      <c r="A523" s="352">
        <v>3855</v>
      </c>
      <c r="B523" s="354">
        <v>41524</v>
      </c>
      <c r="C523" s="257" t="s">
        <v>836</v>
      </c>
      <c r="D523" s="276">
        <v>58</v>
      </c>
      <c r="E523" s="413">
        <f>D523/6.0121</f>
        <v>9.6472114568952616</v>
      </c>
      <c r="F523" s="257" t="s">
        <v>403</v>
      </c>
      <c r="G523" s="91" t="s">
        <v>132</v>
      </c>
      <c r="H523" s="356" t="s">
        <v>119</v>
      </c>
      <c r="I523" s="91" t="s">
        <v>1110</v>
      </c>
      <c r="J523" s="257" t="s">
        <v>188</v>
      </c>
      <c r="K523" s="355"/>
      <c r="L523" s="416"/>
      <c r="M523" s="88"/>
      <c r="N523" s="88"/>
      <c r="O523" s="88"/>
    </row>
    <row r="524" spans="1:15" s="218" customFormat="1">
      <c r="A524" s="352">
        <v>3861</v>
      </c>
      <c r="B524" s="354">
        <v>41524</v>
      </c>
      <c r="C524" s="257" t="s">
        <v>834</v>
      </c>
      <c r="D524" s="276">
        <v>57</v>
      </c>
      <c r="E524" s="413">
        <f>D524/6.0121</f>
        <v>9.4808802248798258</v>
      </c>
      <c r="F524" s="257" t="s">
        <v>264</v>
      </c>
      <c r="G524" s="268" t="s">
        <v>106</v>
      </c>
      <c r="H524" s="356" t="s">
        <v>119</v>
      </c>
      <c r="I524" s="91" t="s">
        <v>1110</v>
      </c>
      <c r="J524" s="268" t="s">
        <v>101</v>
      </c>
      <c r="K524" s="356"/>
      <c r="L524" s="416"/>
      <c r="M524" s="88"/>
      <c r="N524" s="88"/>
      <c r="O524" s="88"/>
    </row>
    <row r="525" spans="1:15" s="218" customFormat="1" ht="15">
      <c r="A525" s="352">
        <v>3906</v>
      </c>
      <c r="B525" s="354">
        <v>41528</v>
      </c>
      <c r="C525" s="257" t="s">
        <v>944</v>
      </c>
      <c r="D525" s="424"/>
      <c r="E525" s="413">
        <v>20</v>
      </c>
      <c r="F525" s="257" t="s">
        <v>945</v>
      </c>
      <c r="G525" s="91" t="s">
        <v>132</v>
      </c>
      <c r="H525" s="355" t="s">
        <v>1071</v>
      </c>
      <c r="I525" s="91" t="s">
        <v>1110</v>
      </c>
      <c r="J525" s="257" t="s">
        <v>102</v>
      </c>
      <c r="K525" s="356" t="s">
        <v>39</v>
      </c>
      <c r="L525" s="416"/>
      <c r="M525" s="88"/>
      <c r="N525" s="88"/>
      <c r="O525" s="88"/>
    </row>
    <row r="526" spans="1:15" s="218" customFormat="1">
      <c r="A526" s="352">
        <v>3902</v>
      </c>
      <c r="B526" s="354">
        <v>41529</v>
      </c>
      <c r="C526" s="257" t="s">
        <v>949</v>
      </c>
      <c r="D526" s="276">
        <v>6000</v>
      </c>
      <c r="E526" s="413">
        <f>D526/6.0121</f>
        <v>997.98739209261316</v>
      </c>
      <c r="F526" s="257" t="s">
        <v>651</v>
      </c>
      <c r="G526" s="257" t="s">
        <v>111</v>
      </c>
      <c r="H526" s="356" t="s">
        <v>119</v>
      </c>
      <c r="I526" s="91" t="s">
        <v>1110</v>
      </c>
      <c r="J526" s="268" t="s">
        <v>894</v>
      </c>
      <c r="K526" s="356"/>
      <c r="L526" s="416"/>
      <c r="M526" s="88"/>
      <c r="N526" s="88"/>
      <c r="O526" s="88"/>
    </row>
    <row r="527" spans="1:15" s="218" customFormat="1" ht="15">
      <c r="A527" s="352">
        <v>3907</v>
      </c>
      <c r="B527" s="354">
        <v>41530</v>
      </c>
      <c r="C527" s="257" t="s">
        <v>950</v>
      </c>
      <c r="D527" s="424"/>
      <c r="E527" s="413">
        <v>23</v>
      </c>
      <c r="F527" s="257" t="s">
        <v>857</v>
      </c>
      <c r="G527" s="91" t="s">
        <v>132</v>
      </c>
      <c r="H527" s="355" t="s">
        <v>1071</v>
      </c>
      <c r="I527" s="91" t="s">
        <v>1110</v>
      </c>
      <c r="J527" s="257" t="s">
        <v>102</v>
      </c>
      <c r="K527" s="356" t="s">
        <v>39</v>
      </c>
      <c r="L527" s="416"/>
      <c r="M527" s="88"/>
      <c r="N527" s="88"/>
      <c r="O527" s="88"/>
    </row>
    <row r="528" spans="1:15" s="218" customFormat="1" ht="15">
      <c r="A528" s="352">
        <v>3897</v>
      </c>
      <c r="B528" s="354">
        <v>41532</v>
      </c>
      <c r="C528" s="257" t="s">
        <v>862</v>
      </c>
      <c r="D528" s="424"/>
      <c r="E528" s="413">
        <v>71.55</v>
      </c>
      <c r="F528" s="257" t="s">
        <v>863</v>
      </c>
      <c r="G528" s="91" t="s">
        <v>132</v>
      </c>
      <c r="H528" s="355" t="s">
        <v>1071</v>
      </c>
      <c r="I528" s="91" t="s">
        <v>1110</v>
      </c>
      <c r="J528" s="257" t="s">
        <v>102</v>
      </c>
      <c r="K528" s="356" t="s">
        <v>39</v>
      </c>
      <c r="L528" s="416"/>
      <c r="M528" s="88"/>
      <c r="N528" s="88"/>
      <c r="O528" s="88"/>
    </row>
    <row r="529" spans="1:15" s="218" customFormat="1" ht="15">
      <c r="A529" s="352">
        <v>3910</v>
      </c>
      <c r="B529" s="354">
        <v>41532</v>
      </c>
      <c r="C529" s="257" t="s">
        <v>858</v>
      </c>
      <c r="D529" s="424"/>
      <c r="E529" s="413">
        <v>36</v>
      </c>
      <c r="F529" s="257" t="s">
        <v>825</v>
      </c>
      <c r="G529" s="91" t="s">
        <v>132</v>
      </c>
      <c r="H529" s="355" t="s">
        <v>1071</v>
      </c>
      <c r="I529" s="91" t="s">
        <v>1110</v>
      </c>
      <c r="J529" s="257" t="s">
        <v>102</v>
      </c>
      <c r="K529" s="356" t="s">
        <v>39</v>
      </c>
      <c r="L529" s="416"/>
      <c r="M529" s="88"/>
      <c r="N529" s="88"/>
      <c r="O529" s="88"/>
    </row>
    <row r="530" spans="1:15" s="218" customFormat="1" ht="15">
      <c r="A530" s="352">
        <v>3908</v>
      </c>
      <c r="B530" s="354">
        <v>41532</v>
      </c>
      <c r="C530" s="257" t="s">
        <v>861</v>
      </c>
      <c r="D530" s="424"/>
      <c r="E530" s="413">
        <v>20</v>
      </c>
      <c r="F530" s="257" t="s">
        <v>945</v>
      </c>
      <c r="G530" s="91" t="s">
        <v>132</v>
      </c>
      <c r="H530" s="355" t="s">
        <v>1071</v>
      </c>
      <c r="I530" s="91" t="s">
        <v>1110</v>
      </c>
      <c r="J530" s="257" t="s">
        <v>102</v>
      </c>
      <c r="K530" s="356" t="s">
        <v>39</v>
      </c>
      <c r="L530" s="416"/>
      <c r="M530" s="88"/>
      <c r="N530" s="88"/>
      <c r="O530" s="88"/>
    </row>
    <row r="531" spans="1:15" s="218" customFormat="1" ht="15">
      <c r="A531" s="352">
        <v>3909</v>
      </c>
      <c r="B531" s="354">
        <v>41532</v>
      </c>
      <c r="C531" s="257" t="s">
        <v>859</v>
      </c>
      <c r="D531" s="424"/>
      <c r="E531" s="413">
        <v>37.880000000000003</v>
      </c>
      <c r="F531" s="257" t="s">
        <v>860</v>
      </c>
      <c r="G531" s="257" t="s">
        <v>106</v>
      </c>
      <c r="H531" s="355" t="s">
        <v>1071</v>
      </c>
      <c r="I531" s="91" t="s">
        <v>1110</v>
      </c>
      <c r="J531" s="257" t="s">
        <v>102</v>
      </c>
      <c r="K531" s="355" t="s">
        <v>34</v>
      </c>
      <c r="L531" s="416"/>
      <c r="M531" s="88"/>
      <c r="N531" s="88"/>
      <c r="O531" s="88"/>
    </row>
    <row r="532" spans="1:15" s="218" customFormat="1" ht="15">
      <c r="A532" s="352">
        <v>3911</v>
      </c>
      <c r="B532" s="354">
        <v>41533</v>
      </c>
      <c r="C532" s="257" t="s">
        <v>855</v>
      </c>
      <c r="D532" s="424"/>
      <c r="E532" s="413">
        <v>42.11</v>
      </c>
      <c r="F532" s="257" t="s">
        <v>856</v>
      </c>
      <c r="G532" s="91" t="s">
        <v>132</v>
      </c>
      <c r="H532" s="355" t="s">
        <v>1071</v>
      </c>
      <c r="I532" s="91" t="s">
        <v>1110</v>
      </c>
      <c r="J532" s="257" t="s">
        <v>102</v>
      </c>
      <c r="K532" s="356" t="s">
        <v>39</v>
      </c>
      <c r="L532" s="416"/>
      <c r="M532" s="88"/>
      <c r="N532" s="88"/>
      <c r="O532" s="88"/>
    </row>
    <row r="533" spans="1:15" s="218" customFormat="1" ht="15">
      <c r="A533" s="352">
        <v>3913</v>
      </c>
      <c r="B533" s="354">
        <v>41533</v>
      </c>
      <c r="C533" s="257" t="s">
        <v>853</v>
      </c>
      <c r="D533" s="424"/>
      <c r="E533" s="413">
        <v>507.8</v>
      </c>
      <c r="F533" s="257" t="s">
        <v>754</v>
      </c>
      <c r="G533" s="91" t="s">
        <v>132</v>
      </c>
      <c r="H533" s="355" t="s">
        <v>1071</v>
      </c>
      <c r="I533" s="91" t="s">
        <v>1110</v>
      </c>
      <c r="J533" s="257" t="s">
        <v>102</v>
      </c>
      <c r="K533" s="356" t="s">
        <v>39</v>
      </c>
      <c r="L533" s="416"/>
      <c r="M533" s="88"/>
      <c r="N533" s="88"/>
      <c r="O533" s="88"/>
    </row>
    <row r="534" spans="1:15" s="218" customFormat="1" ht="15">
      <c r="A534" s="352">
        <v>3912</v>
      </c>
      <c r="B534" s="354">
        <v>41533</v>
      </c>
      <c r="C534" s="257" t="s">
        <v>854</v>
      </c>
      <c r="D534" s="424"/>
      <c r="E534" s="413">
        <v>390.8</v>
      </c>
      <c r="F534" s="257" t="s">
        <v>754</v>
      </c>
      <c r="G534" s="91" t="s">
        <v>132</v>
      </c>
      <c r="H534" s="355" t="s">
        <v>1071</v>
      </c>
      <c r="I534" s="91" t="s">
        <v>1110</v>
      </c>
      <c r="J534" s="257" t="s">
        <v>102</v>
      </c>
      <c r="K534" s="356" t="s">
        <v>39</v>
      </c>
      <c r="L534" s="416"/>
      <c r="M534" s="88"/>
      <c r="N534" s="88"/>
      <c r="O534" s="88"/>
    </row>
    <row r="535" spans="1:15" s="218" customFormat="1">
      <c r="A535" s="352">
        <v>3879</v>
      </c>
      <c r="B535" s="354">
        <v>41534</v>
      </c>
      <c r="C535" s="257" t="s">
        <v>513</v>
      </c>
      <c r="D535" s="276">
        <v>75</v>
      </c>
      <c r="E535" s="413">
        <f>D535/6.0121</f>
        <v>12.474842401157664</v>
      </c>
      <c r="F535" s="257" t="s">
        <v>403</v>
      </c>
      <c r="G535" s="91" t="s">
        <v>114</v>
      </c>
      <c r="H535" s="355" t="s">
        <v>1071</v>
      </c>
      <c r="I535" s="91" t="s">
        <v>1110</v>
      </c>
      <c r="J535" s="268" t="s">
        <v>188</v>
      </c>
      <c r="K535" s="356" t="s">
        <v>34</v>
      </c>
      <c r="L535" s="416"/>
      <c r="M535" s="88"/>
      <c r="N535" s="88"/>
      <c r="O535" s="88"/>
    </row>
    <row r="536" spans="1:15" ht="15">
      <c r="A536" s="352">
        <v>3914</v>
      </c>
      <c r="B536" s="354">
        <v>41534</v>
      </c>
      <c r="C536" s="257" t="s">
        <v>758</v>
      </c>
      <c r="D536" s="424"/>
      <c r="E536" s="413">
        <v>184.73</v>
      </c>
      <c r="F536" s="257" t="s">
        <v>759</v>
      </c>
      <c r="G536" s="91" t="s">
        <v>132</v>
      </c>
      <c r="H536" s="355" t="s">
        <v>1071</v>
      </c>
      <c r="I536" s="91" t="s">
        <v>1110</v>
      </c>
      <c r="J536" s="257" t="s">
        <v>102</v>
      </c>
      <c r="K536" s="356" t="s">
        <v>39</v>
      </c>
    </row>
    <row r="537" spans="1:15" ht="15">
      <c r="A537" s="352">
        <v>3915</v>
      </c>
      <c r="B537" s="354">
        <v>41536</v>
      </c>
      <c r="C537" s="257" t="s">
        <v>862</v>
      </c>
      <c r="D537" s="424"/>
      <c r="E537" s="413">
        <v>99.79</v>
      </c>
      <c r="F537" s="257" t="s">
        <v>863</v>
      </c>
      <c r="G537" s="91" t="s">
        <v>132</v>
      </c>
      <c r="H537" s="355" t="s">
        <v>1071</v>
      </c>
      <c r="I537" s="91" t="s">
        <v>1110</v>
      </c>
      <c r="J537" s="257" t="s">
        <v>102</v>
      </c>
      <c r="K537" s="356" t="s">
        <v>39</v>
      </c>
    </row>
    <row r="538" spans="1:15" ht="15">
      <c r="A538" s="352">
        <v>3917</v>
      </c>
      <c r="B538" s="354">
        <v>41537</v>
      </c>
      <c r="C538" s="257" t="s">
        <v>762</v>
      </c>
      <c r="D538" s="424"/>
      <c r="E538" s="413">
        <v>109</v>
      </c>
      <c r="F538" s="257" t="s">
        <v>763</v>
      </c>
      <c r="G538" s="91" t="s">
        <v>132</v>
      </c>
      <c r="H538" s="355" t="s">
        <v>1071</v>
      </c>
      <c r="I538" s="91" t="s">
        <v>1110</v>
      </c>
      <c r="J538" s="257" t="s">
        <v>102</v>
      </c>
      <c r="K538" s="356" t="s">
        <v>39</v>
      </c>
    </row>
    <row r="539" spans="1:15" ht="15">
      <c r="A539" s="352">
        <v>3918</v>
      </c>
      <c r="B539" s="354">
        <v>41537</v>
      </c>
      <c r="C539" s="257" t="s">
        <v>760</v>
      </c>
      <c r="D539" s="424"/>
      <c r="E539" s="413">
        <v>40</v>
      </c>
      <c r="F539" s="257" t="s">
        <v>761</v>
      </c>
      <c r="G539" s="91" t="s">
        <v>132</v>
      </c>
      <c r="H539" s="355" t="s">
        <v>1071</v>
      </c>
      <c r="I539" s="91" t="s">
        <v>1110</v>
      </c>
      <c r="J539" s="257" t="s">
        <v>102</v>
      </c>
      <c r="K539" s="356" t="s">
        <v>39</v>
      </c>
    </row>
    <row r="540" spans="1:15" ht="15">
      <c r="A540" s="352">
        <v>3916</v>
      </c>
      <c r="B540" s="354">
        <v>41537</v>
      </c>
      <c r="C540" s="257" t="s">
        <v>764</v>
      </c>
      <c r="D540" s="424"/>
      <c r="E540" s="413">
        <v>30.4</v>
      </c>
      <c r="F540" s="257" t="s">
        <v>765</v>
      </c>
      <c r="G540" s="91" t="s">
        <v>132</v>
      </c>
      <c r="H540" s="355" t="s">
        <v>1071</v>
      </c>
      <c r="I540" s="91" t="s">
        <v>1110</v>
      </c>
      <c r="J540" s="257" t="s">
        <v>102</v>
      </c>
      <c r="K540" s="355" t="s">
        <v>29</v>
      </c>
    </row>
    <row r="541" spans="1:15" ht="15">
      <c r="A541" s="352">
        <v>3858</v>
      </c>
      <c r="B541" s="354">
        <v>41537</v>
      </c>
      <c r="C541" s="257" t="s">
        <v>766</v>
      </c>
      <c r="D541" s="424"/>
      <c r="E541" s="413">
        <v>158.31</v>
      </c>
      <c r="F541" s="257" t="s">
        <v>767</v>
      </c>
      <c r="G541" s="268" t="s">
        <v>106</v>
      </c>
      <c r="H541" s="356" t="s">
        <v>119</v>
      </c>
      <c r="I541" s="91" t="s">
        <v>1110</v>
      </c>
      <c r="J541" s="268" t="s">
        <v>105</v>
      </c>
      <c r="K541" s="356"/>
    </row>
    <row r="542" spans="1:15" ht="15">
      <c r="A542" s="352">
        <v>3920</v>
      </c>
      <c r="B542" s="354">
        <v>41539</v>
      </c>
      <c r="C542" s="257" t="s">
        <v>768</v>
      </c>
      <c r="D542" s="424"/>
      <c r="E542" s="413">
        <v>1261.5999999999999</v>
      </c>
      <c r="F542" s="257" t="s">
        <v>754</v>
      </c>
      <c r="G542" s="91" t="s">
        <v>132</v>
      </c>
      <c r="H542" s="355" t="s">
        <v>1071</v>
      </c>
      <c r="I542" s="91" t="s">
        <v>1110</v>
      </c>
      <c r="J542" s="257" t="s">
        <v>102</v>
      </c>
      <c r="K542" s="356" t="s">
        <v>39</v>
      </c>
    </row>
    <row r="543" spans="1:15" ht="15">
      <c r="A543" s="352">
        <v>3919</v>
      </c>
      <c r="B543" s="354">
        <v>41539</v>
      </c>
      <c r="C543" s="257" t="s">
        <v>769</v>
      </c>
      <c r="D543" s="424"/>
      <c r="E543" s="413">
        <v>32</v>
      </c>
      <c r="F543" s="257" t="s">
        <v>721</v>
      </c>
      <c r="G543" s="91" t="s">
        <v>132</v>
      </c>
      <c r="H543" s="355" t="s">
        <v>1071</v>
      </c>
      <c r="I543" s="91" t="s">
        <v>1110</v>
      </c>
      <c r="J543" s="257" t="s">
        <v>102</v>
      </c>
      <c r="K543" s="355" t="s">
        <v>29</v>
      </c>
    </row>
    <row r="544" spans="1:15" ht="15">
      <c r="A544" s="352">
        <v>3921</v>
      </c>
      <c r="B544" s="354">
        <v>41540</v>
      </c>
      <c r="C544" s="257" t="s">
        <v>771</v>
      </c>
      <c r="D544" s="424"/>
      <c r="E544" s="413">
        <v>8.5</v>
      </c>
      <c r="F544" s="257" t="s">
        <v>721</v>
      </c>
      <c r="G544" s="91" t="s">
        <v>132</v>
      </c>
      <c r="H544" s="355" t="s">
        <v>1071</v>
      </c>
      <c r="I544" s="91" t="s">
        <v>1110</v>
      </c>
      <c r="J544" s="257" t="s">
        <v>102</v>
      </c>
      <c r="K544" s="355" t="s">
        <v>29</v>
      </c>
    </row>
    <row r="545" spans="1:15">
      <c r="A545" s="352">
        <v>3818</v>
      </c>
      <c r="B545" s="354">
        <v>41540</v>
      </c>
      <c r="C545" s="257" t="s">
        <v>878</v>
      </c>
      <c r="D545" s="276">
        <v>370</v>
      </c>
      <c r="E545" s="413">
        <f t="shared" ref="E545:E559" si="9">D545/6.0121</f>
        <v>61.542555845711149</v>
      </c>
      <c r="F545" s="257" t="s">
        <v>264</v>
      </c>
      <c r="G545" s="268" t="s">
        <v>106</v>
      </c>
      <c r="H545" s="356" t="s">
        <v>119</v>
      </c>
      <c r="I545" s="91" t="s">
        <v>1110</v>
      </c>
      <c r="J545" s="257" t="s">
        <v>188</v>
      </c>
      <c r="K545" s="356"/>
    </row>
    <row r="546" spans="1:15">
      <c r="A546" s="352">
        <v>3817</v>
      </c>
      <c r="B546" s="354">
        <v>41540</v>
      </c>
      <c r="C546" s="257" t="s">
        <v>879</v>
      </c>
      <c r="D546" s="276">
        <v>236</v>
      </c>
      <c r="E546" s="413">
        <f t="shared" si="9"/>
        <v>39.254170755642782</v>
      </c>
      <c r="F546" s="257" t="s">
        <v>264</v>
      </c>
      <c r="G546" s="268" t="s">
        <v>106</v>
      </c>
      <c r="H546" s="356" t="s">
        <v>119</v>
      </c>
      <c r="I546" s="91" t="s">
        <v>1110</v>
      </c>
      <c r="J546" s="257" t="s">
        <v>188</v>
      </c>
      <c r="K546" s="356"/>
    </row>
    <row r="547" spans="1:15">
      <c r="A547" s="352">
        <v>3868</v>
      </c>
      <c r="B547" s="354">
        <v>41541</v>
      </c>
      <c r="C547" s="257" t="s">
        <v>513</v>
      </c>
      <c r="D547" s="276">
        <v>50</v>
      </c>
      <c r="E547" s="413">
        <f t="shared" si="9"/>
        <v>8.3165616007717773</v>
      </c>
      <c r="F547" s="257" t="s">
        <v>403</v>
      </c>
      <c r="G547" s="91" t="s">
        <v>114</v>
      </c>
      <c r="H547" s="355" t="s">
        <v>1071</v>
      </c>
      <c r="I547" s="91" t="s">
        <v>1110</v>
      </c>
      <c r="J547" s="257" t="s">
        <v>188</v>
      </c>
      <c r="K547" s="356" t="s">
        <v>34</v>
      </c>
    </row>
    <row r="548" spans="1:15">
      <c r="A548" s="352">
        <v>3880</v>
      </c>
      <c r="B548" s="354">
        <v>41541</v>
      </c>
      <c r="C548" s="257" t="s">
        <v>883</v>
      </c>
      <c r="D548" s="276">
        <v>24</v>
      </c>
      <c r="E548" s="413">
        <f t="shared" si="9"/>
        <v>3.9919495683704529</v>
      </c>
      <c r="F548" s="257" t="s">
        <v>403</v>
      </c>
      <c r="G548" s="268" t="s">
        <v>106</v>
      </c>
      <c r="H548" s="356" t="s">
        <v>119</v>
      </c>
      <c r="I548" s="91" t="s">
        <v>1110</v>
      </c>
      <c r="J548" s="257" t="s">
        <v>188</v>
      </c>
      <c r="K548" s="356"/>
    </row>
    <row r="549" spans="1:15">
      <c r="A549" s="352">
        <v>3882</v>
      </c>
      <c r="B549" s="354">
        <v>41541</v>
      </c>
      <c r="C549" s="257" t="s">
        <v>881</v>
      </c>
      <c r="D549" s="276">
        <v>42</v>
      </c>
      <c r="E549" s="413">
        <f t="shared" si="9"/>
        <v>6.9859117446482921</v>
      </c>
      <c r="F549" s="257" t="s">
        <v>403</v>
      </c>
      <c r="G549" s="268" t="s">
        <v>106</v>
      </c>
      <c r="H549" s="356" t="s">
        <v>119</v>
      </c>
      <c r="I549" s="91" t="s">
        <v>1110</v>
      </c>
      <c r="J549" s="257" t="s">
        <v>188</v>
      </c>
      <c r="K549" s="356"/>
    </row>
    <row r="550" spans="1:15">
      <c r="A550" s="352">
        <v>3881</v>
      </c>
      <c r="B550" s="354">
        <v>41541</v>
      </c>
      <c r="C550" s="257" t="s">
        <v>882</v>
      </c>
      <c r="D550" s="276">
        <v>470</v>
      </c>
      <c r="E550" s="413">
        <f t="shared" si="9"/>
        <v>78.175679047254704</v>
      </c>
      <c r="F550" s="257" t="s">
        <v>403</v>
      </c>
      <c r="G550" s="268" t="s">
        <v>106</v>
      </c>
      <c r="H550" s="356" t="s">
        <v>119</v>
      </c>
      <c r="I550" s="91" t="s">
        <v>1110</v>
      </c>
      <c r="J550" s="257" t="s">
        <v>188</v>
      </c>
      <c r="K550" s="356"/>
    </row>
    <row r="551" spans="1:15">
      <c r="A551" s="352">
        <v>3859</v>
      </c>
      <c r="B551" s="354">
        <v>41541</v>
      </c>
      <c r="C551" s="257" t="s">
        <v>885</v>
      </c>
      <c r="D551" s="276">
        <v>400</v>
      </c>
      <c r="E551" s="413">
        <f t="shared" si="9"/>
        <v>66.532492806174218</v>
      </c>
      <c r="F551" s="257" t="s">
        <v>886</v>
      </c>
      <c r="G551" s="268" t="s">
        <v>106</v>
      </c>
      <c r="H551" s="356" t="s">
        <v>119</v>
      </c>
      <c r="I551" s="91" t="s">
        <v>1110</v>
      </c>
      <c r="J551" s="257" t="s">
        <v>188</v>
      </c>
      <c r="K551" s="356"/>
    </row>
    <row r="552" spans="1:15">
      <c r="A552" s="352">
        <v>3819</v>
      </c>
      <c r="B552" s="354">
        <v>41541</v>
      </c>
      <c r="C552" s="257" t="s">
        <v>887</v>
      </c>
      <c r="D552" s="276">
        <v>900</v>
      </c>
      <c r="E552" s="413">
        <f t="shared" si="9"/>
        <v>149.69810881389199</v>
      </c>
      <c r="F552" s="257" t="s">
        <v>403</v>
      </c>
      <c r="G552" s="268" t="s">
        <v>106</v>
      </c>
      <c r="H552" s="356" t="s">
        <v>119</v>
      </c>
      <c r="I552" s="91" t="s">
        <v>1110</v>
      </c>
      <c r="J552" s="257" t="s">
        <v>188</v>
      </c>
      <c r="K552" s="356"/>
    </row>
    <row r="553" spans="1:15">
      <c r="A553" s="352">
        <v>3815</v>
      </c>
      <c r="B553" s="354">
        <v>41541</v>
      </c>
      <c r="C553" s="257" t="s">
        <v>888</v>
      </c>
      <c r="D553" s="276">
        <v>95</v>
      </c>
      <c r="E553" s="413">
        <f t="shared" si="9"/>
        <v>15.801467041466376</v>
      </c>
      <c r="F553" s="257" t="s">
        <v>403</v>
      </c>
      <c r="G553" s="268" t="s">
        <v>106</v>
      </c>
      <c r="H553" s="356" t="s">
        <v>119</v>
      </c>
      <c r="I553" s="91" t="s">
        <v>1110</v>
      </c>
      <c r="J553" s="257" t="s">
        <v>188</v>
      </c>
      <c r="K553" s="356"/>
    </row>
    <row r="554" spans="1:15">
      <c r="A554" s="352">
        <v>3864</v>
      </c>
      <c r="B554" s="354">
        <v>41542</v>
      </c>
      <c r="C554" s="257" t="s">
        <v>889</v>
      </c>
      <c r="D554" s="276">
        <v>280</v>
      </c>
      <c r="E554" s="413">
        <f t="shared" si="9"/>
        <v>46.572744964321949</v>
      </c>
      <c r="F554" s="257" t="s">
        <v>403</v>
      </c>
      <c r="G554" s="91" t="s">
        <v>114</v>
      </c>
      <c r="H554" s="355" t="s">
        <v>1071</v>
      </c>
      <c r="I554" s="91" t="s">
        <v>1110</v>
      </c>
      <c r="J554" s="257" t="s">
        <v>188</v>
      </c>
      <c r="K554" s="356" t="s">
        <v>29</v>
      </c>
    </row>
    <row r="555" spans="1:15">
      <c r="A555" s="352">
        <v>3828</v>
      </c>
      <c r="B555" s="354">
        <v>41542</v>
      </c>
      <c r="C555" s="257" t="s">
        <v>891</v>
      </c>
      <c r="D555" s="276">
        <v>85</v>
      </c>
      <c r="E555" s="413">
        <f t="shared" si="9"/>
        <v>14.13815472131202</v>
      </c>
      <c r="F555" s="257" t="s">
        <v>877</v>
      </c>
      <c r="G555" s="91" t="s">
        <v>132</v>
      </c>
      <c r="H555" s="356" t="s">
        <v>119</v>
      </c>
      <c r="I555" s="91" t="s">
        <v>1110</v>
      </c>
      <c r="J555" s="257" t="s">
        <v>188</v>
      </c>
      <c r="K555" s="355"/>
    </row>
    <row r="556" spans="1:15">
      <c r="A556" s="352">
        <v>3822</v>
      </c>
      <c r="B556" s="354">
        <v>41542</v>
      </c>
      <c r="C556" s="257" t="s">
        <v>991</v>
      </c>
      <c r="D556" s="276">
        <v>50</v>
      </c>
      <c r="E556" s="413">
        <f t="shared" si="9"/>
        <v>8.3165616007717773</v>
      </c>
      <c r="F556" s="257" t="s">
        <v>403</v>
      </c>
      <c r="G556" s="268" t="s">
        <v>106</v>
      </c>
      <c r="H556" s="356" t="s">
        <v>119</v>
      </c>
      <c r="I556" s="91" t="s">
        <v>1110</v>
      </c>
      <c r="J556" s="257" t="s">
        <v>188</v>
      </c>
      <c r="K556" s="356"/>
    </row>
    <row r="557" spans="1:15">
      <c r="A557" s="260">
        <v>3948</v>
      </c>
      <c r="B557" s="265">
        <v>41543</v>
      </c>
      <c r="C557" s="267" t="s">
        <v>1033</v>
      </c>
      <c r="D557" s="262">
        <v>10</v>
      </c>
      <c r="E557" s="413">
        <f t="shared" si="9"/>
        <v>1.6633123201543554</v>
      </c>
      <c r="F557" s="267" t="s">
        <v>750</v>
      </c>
      <c r="G557" s="91" t="s">
        <v>114</v>
      </c>
      <c r="H557" s="355" t="s">
        <v>1071</v>
      </c>
      <c r="I557" s="91" t="s">
        <v>1110</v>
      </c>
      <c r="J557" s="267" t="s">
        <v>894</v>
      </c>
      <c r="K557" s="356" t="s">
        <v>29</v>
      </c>
      <c r="L557" s="416" t="s">
        <v>402</v>
      </c>
      <c r="M557" s="267" t="s">
        <v>402</v>
      </c>
      <c r="N557" s="374" t="s">
        <v>402</v>
      </c>
      <c r="O557" s="218"/>
    </row>
    <row r="558" spans="1:15">
      <c r="A558" s="352">
        <v>3826</v>
      </c>
      <c r="B558" s="354">
        <v>41543</v>
      </c>
      <c r="C558" s="257" t="s">
        <v>891</v>
      </c>
      <c r="D558" s="276">
        <v>98</v>
      </c>
      <c r="E558" s="413">
        <f t="shared" si="9"/>
        <v>16.300460737512683</v>
      </c>
      <c r="F558" s="257" t="s">
        <v>877</v>
      </c>
      <c r="G558" s="91" t="s">
        <v>132</v>
      </c>
      <c r="H558" s="356" t="s">
        <v>119</v>
      </c>
      <c r="I558" s="91" t="s">
        <v>1110</v>
      </c>
      <c r="J558" s="257" t="s">
        <v>188</v>
      </c>
      <c r="K558" s="355"/>
    </row>
    <row r="559" spans="1:15">
      <c r="A559" s="352">
        <v>3827</v>
      </c>
      <c r="B559" s="354">
        <v>41543</v>
      </c>
      <c r="C559" s="257" t="s">
        <v>905</v>
      </c>
      <c r="D559" s="276">
        <v>34.5</v>
      </c>
      <c r="E559" s="413">
        <f t="shared" si="9"/>
        <v>5.7384275045325257</v>
      </c>
      <c r="F559" s="257" t="s">
        <v>877</v>
      </c>
      <c r="G559" s="268" t="s">
        <v>106</v>
      </c>
      <c r="H559" s="356" t="s">
        <v>119</v>
      </c>
      <c r="I559" s="91" t="s">
        <v>1110</v>
      </c>
      <c r="J559" s="257" t="s">
        <v>188</v>
      </c>
      <c r="K559" s="356"/>
    </row>
    <row r="560" spans="1:15" ht="15">
      <c r="A560" s="352">
        <v>3941</v>
      </c>
      <c r="B560" s="354">
        <v>41544</v>
      </c>
      <c r="C560" s="257" t="s">
        <v>939</v>
      </c>
      <c r="D560" s="424"/>
      <c r="E560" s="413">
        <v>400</v>
      </c>
      <c r="F560" s="257" t="s">
        <v>185</v>
      </c>
      <c r="G560" s="257" t="s">
        <v>113</v>
      </c>
      <c r="H560" s="408" t="s">
        <v>123</v>
      </c>
      <c r="I560" s="91" t="s">
        <v>1110</v>
      </c>
      <c r="J560" s="268" t="s">
        <v>94</v>
      </c>
      <c r="K560" s="355"/>
    </row>
    <row r="561" spans="1:11">
      <c r="A561" s="352">
        <v>3836</v>
      </c>
      <c r="B561" s="354">
        <v>41544</v>
      </c>
      <c r="C561" s="257" t="s">
        <v>913</v>
      </c>
      <c r="D561" s="276">
        <v>123.5</v>
      </c>
      <c r="E561" s="413">
        <f t="shared" ref="E561:E570" si="10">D561/6.0121</f>
        <v>20.541907153906287</v>
      </c>
      <c r="F561" s="257" t="s">
        <v>559</v>
      </c>
      <c r="G561" s="91" t="s">
        <v>132</v>
      </c>
      <c r="H561" s="356" t="s">
        <v>119</v>
      </c>
      <c r="I561" s="91" t="s">
        <v>1110</v>
      </c>
      <c r="J561" s="257" t="s">
        <v>188</v>
      </c>
      <c r="K561" s="356"/>
    </row>
    <row r="562" spans="1:11">
      <c r="A562" s="352">
        <v>3837</v>
      </c>
      <c r="B562" s="354">
        <v>41544</v>
      </c>
      <c r="C562" s="257" t="s">
        <v>911</v>
      </c>
      <c r="D562" s="276">
        <v>25</v>
      </c>
      <c r="E562" s="413">
        <f t="shared" si="10"/>
        <v>4.1582808003858887</v>
      </c>
      <c r="F562" s="257" t="s">
        <v>912</v>
      </c>
      <c r="G562" s="91" t="s">
        <v>132</v>
      </c>
      <c r="H562" s="356" t="s">
        <v>119</v>
      </c>
      <c r="I562" s="91" t="s">
        <v>1110</v>
      </c>
      <c r="J562" s="257" t="s">
        <v>188</v>
      </c>
      <c r="K562" s="355"/>
    </row>
    <row r="563" spans="1:11">
      <c r="A563" s="352">
        <v>3832</v>
      </c>
      <c r="B563" s="354">
        <v>41544</v>
      </c>
      <c r="C563" s="257" t="s">
        <v>812</v>
      </c>
      <c r="D563" s="276">
        <v>1106</v>
      </c>
      <c r="E563" s="413">
        <f t="shared" si="10"/>
        <v>183.9623426090717</v>
      </c>
      <c r="F563" s="257" t="s">
        <v>559</v>
      </c>
      <c r="G563" s="91" t="s">
        <v>132</v>
      </c>
      <c r="H563" s="356" t="s">
        <v>119</v>
      </c>
      <c r="I563" s="91" t="s">
        <v>1110</v>
      </c>
      <c r="J563" s="257" t="s">
        <v>188</v>
      </c>
      <c r="K563" s="356"/>
    </row>
    <row r="564" spans="1:11">
      <c r="A564" s="352">
        <v>3857</v>
      </c>
      <c r="B564" s="354">
        <v>41544</v>
      </c>
      <c r="C564" s="257" t="s">
        <v>906</v>
      </c>
      <c r="D564" s="276">
        <v>71</v>
      </c>
      <c r="E564" s="413">
        <f t="shared" si="10"/>
        <v>11.809517473095923</v>
      </c>
      <c r="F564" s="257" t="s">
        <v>877</v>
      </c>
      <c r="G564" s="91" t="s">
        <v>132</v>
      </c>
      <c r="H564" s="356" t="s">
        <v>119</v>
      </c>
      <c r="I564" s="91" t="s">
        <v>1110</v>
      </c>
      <c r="J564" s="257" t="s">
        <v>188</v>
      </c>
      <c r="K564" s="355"/>
    </row>
    <row r="565" spans="1:11">
      <c r="A565" s="352">
        <v>3866</v>
      </c>
      <c r="B565" s="354">
        <v>41545</v>
      </c>
      <c r="C565" s="268" t="s">
        <v>1127</v>
      </c>
      <c r="D565" s="276">
        <v>13000</v>
      </c>
      <c r="E565" s="413">
        <f t="shared" si="10"/>
        <v>2162.3060162006618</v>
      </c>
      <c r="F565" s="257" t="s">
        <v>304</v>
      </c>
      <c r="G565" s="91" t="s">
        <v>108</v>
      </c>
      <c r="H565" s="356" t="s">
        <v>119</v>
      </c>
      <c r="I565" s="91" t="s">
        <v>1110</v>
      </c>
      <c r="J565" s="257" t="s">
        <v>188</v>
      </c>
      <c r="K565" s="355"/>
    </row>
    <row r="566" spans="1:11">
      <c r="A566" s="352">
        <v>3865</v>
      </c>
      <c r="B566" s="354">
        <v>41545</v>
      </c>
      <c r="C566" s="268" t="s">
        <v>1138</v>
      </c>
      <c r="D566" s="276">
        <v>6000</v>
      </c>
      <c r="E566" s="413">
        <f t="shared" si="10"/>
        <v>997.98739209261316</v>
      </c>
      <c r="F566" s="257" t="s">
        <v>404</v>
      </c>
      <c r="G566" s="91" t="s">
        <v>108</v>
      </c>
      <c r="H566" s="356" t="s">
        <v>119</v>
      </c>
      <c r="I566" s="91" t="s">
        <v>1110</v>
      </c>
      <c r="J566" s="257" t="s">
        <v>188</v>
      </c>
      <c r="K566" s="355"/>
    </row>
    <row r="567" spans="1:11">
      <c r="A567" s="352">
        <v>3867</v>
      </c>
      <c r="B567" s="354">
        <v>41545</v>
      </c>
      <c r="C567" s="257" t="s">
        <v>929</v>
      </c>
      <c r="D567" s="276">
        <v>3000</v>
      </c>
      <c r="E567" s="413">
        <f t="shared" si="10"/>
        <v>498.99369604630658</v>
      </c>
      <c r="F567" s="257" t="s">
        <v>510</v>
      </c>
      <c r="G567" s="91" t="s">
        <v>108</v>
      </c>
      <c r="H567" s="355" t="s">
        <v>118</v>
      </c>
      <c r="I567" s="91" t="s">
        <v>1110</v>
      </c>
      <c r="J567" s="257" t="s">
        <v>188</v>
      </c>
      <c r="K567" s="356" t="s">
        <v>27</v>
      </c>
    </row>
    <row r="568" spans="1:11">
      <c r="A568" s="352">
        <v>3905</v>
      </c>
      <c r="B568" s="354">
        <v>41545</v>
      </c>
      <c r="C568" s="257" t="s">
        <v>1149</v>
      </c>
      <c r="D568" s="276">
        <v>4500</v>
      </c>
      <c r="E568" s="413">
        <f t="shared" si="10"/>
        <v>748.49054406945993</v>
      </c>
      <c r="F568" s="257" t="s">
        <v>183</v>
      </c>
      <c r="G568" s="92" t="s">
        <v>111</v>
      </c>
      <c r="H568" s="356" t="s">
        <v>119</v>
      </c>
      <c r="I568" s="91" t="s">
        <v>1110</v>
      </c>
      <c r="J568" s="257" t="s">
        <v>188</v>
      </c>
      <c r="K568" s="355"/>
    </row>
    <row r="569" spans="1:11">
      <c r="A569" s="352">
        <v>3904</v>
      </c>
      <c r="B569" s="354">
        <v>41545</v>
      </c>
      <c r="C569" s="257" t="s">
        <v>1159</v>
      </c>
      <c r="D569" s="276">
        <v>4500</v>
      </c>
      <c r="E569" s="413">
        <f t="shared" si="10"/>
        <v>748.49054406945993</v>
      </c>
      <c r="F569" s="257" t="s">
        <v>182</v>
      </c>
      <c r="G569" s="92" t="s">
        <v>111</v>
      </c>
      <c r="H569" s="356" t="s">
        <v>119</v>
      </c>
      <c r="I569" s="91" t="s">
        <v>1110</v>
      </c>
      <c r="J569" s="257" t="s">
        <v>188</v>
      </c>
      <c r="K569" s="355"/>
    </row>
    <row r="570" spans="1:11">
      <c r="A570" s="352">
        <v>3903</v>
      </c>
      <c r="B570" s="354">
        <v>41545</v>
      </c>
      <c r="C570" s="257" t="s">
        <v>1176</v>
      </c>
      <c r="D570" s="276">
        <v>12000</v>
      </c>
      <c r="E570" s="413">
        <f t="shared" si="10"/>
        <v>1995.9747841852263</v>
      </c>
      <c r="F570" s="257" t="s">
        <v>184</v>
      </c>
      <c r="G570" s="92" t="s">
        <v>111</v>
      </c>
      <c r="H570" s="356" t="s">
        <v>119</v>
      </c>
      <c r="I570" s="91" t="s">
        <v>1110</v>
      </c>
      <c r="J570" s="257" t="s">
        <v>928</v>
      </c>
      <c r="K570" s="355"/>
    </row>
    <row r="571" spans="1:11" ht="15">
      <c r="A571" s="352">
        <v>3922</v>
      </c>
      <c r="B571" s="354">
        <v>41547</v>
      </c>
      <c r="C571" s="257" t="s">
        <v>935</v>
      </c>
      <c r="D571" s="424"/>
      <c r="E571" s="413">
        <v>25</v>
      </c>
      <c r="F571" s="257" t="s">
        <v>675</v>
      </c>
      <c r="G571" s="91" t="s">
        <v>114</v>
      </c>
      <c r="H571" s="355" t="s">
        <v>118</v>
      </c>
      <c r="I571" s="91" t="s">
        <v>1110</v>
      </c>
      <c r="J571" s="257" t="s">
        <v>102</v>
      </c>
      <c r="K571" s="355" t="s">
        <v>23</v>
      </c>
    </row>
    <row r="572" spans="1:11" ht="15">
      <c r="A572" s="352">
        <v>3923</v>
      </c>
      <c r="B572" s="354">
        <v>41547</v>
      </c>
      <c r="C572" s="257" t="s">
        <v>933</v>
      </c>
      <c r="D572" s="424"/>
      <c r="E572" s="413">
        <v>22</v>
      </c>
      <c r="F572" s="257" t="s">
        <v>934</v>
      </c>
      <c r="G572" s="91" t="s">
        <v>132</v>
      </c>
      <c r="H572" s="355" t="s">
        <v>1071</v>
      </c>
      <c r="I572" s="91" t="s">
        <v>1110</v>
      </c>
      <c r="J572" s="257" t="s">
        <v>102</v>
      </c>
      <c r="K572" s="356" t="s">
        <v>39</v>
      </c>
    </row>
    <row r="573" spans="1:11">
      <c r="A573" s="352">
        <v>3931</v>
      </c>
      <c r="B573" s="354">
        <v>41556</v>
      </c>
      <c r="C573" s="257" t="s">
        <v>940</v>
      </c>
      <c r="D573" s="276">
        <v>1115.48</v>
      </c>
      <c r="E573" s="413">
        <f t="shared" ref="E573:E580" si="11">D573/6.0043</f>
        <v>185.7801908632147</v>
      </c>
      <c r="F573" s="257" t="s">
        <v>941</v>
      </c>
      <c r="G573" s="268" t="s">
        <v>1083</v>
      </c>
      <c r="H573" s="355" t="s">
        <v>118</v>
      </c>
      <c r="I573" s="91" t="s">
        <v>1110</v>
      </c>
      <c r="J573" s="91" t="s">
        <v>291</v>
      </c>
      <c r="K573" s="356" t="s">
        <v>25</v>
      </c>
    </row>
    <row r="574" spans="1:11">
      <c r="A574" s="352">
        <v>3870</v>
      </c>
      <c r="B574" s="354">
        <v>41558</v>
      </c>
      <c r="C574" s="257" t="s">
        <v>821</v>
      </c>
      <c r="D574" s="276">
        <v>30</v>
      </c>
      <c r="E574" s="413">
        <f t="shared" si="11"/>
        <v>4.9964192328831007</v>
      </c>
      <c r="F574" s="257" t="s">
        <v>510</v>
      </c>
      <c r="G574" s="91" t="s">
        <v>132</v>
      </c>
      <c r="H574" s="355" t="s">
        <v>1071</v>
      </c>
      <c r="I574" s="91" t="s">
        <v>1110</v>
      </c>
      <c r="J574" s="257" t="s">
        <v>188</v>
      </c>
      <c r="K574" s="356" t="s">
        <v>29</v>
      </c>
    </row>
    <row r="575" spans="1:11">
      <c r="A575" s="352">
        <v>3862</v>
      </c>
      <c r="B575" s="354">
        <v>41558</v>
      </c>
      <c r="C575" s="257" t="s">
        <v>953</v>
      </c>
      <c r="D575" s="276">
        <v>82</v>
      </c>
      <c r="E575" s="413">
        <f t="shared" si="11"/>
        <v>13.656879236547141</v>
      </c>
      <c r="F575" s="257" t="s">
        <v>264</v>
      </c>
      <c r="G575" s="268" t="s">
        <v>106</v>
      </c>
      <c r="H575" s="356" t="s">
        <v>119</v>
      </c>
      <c r="I575" s="91" t="s">
        <v>1110</v>
      </c>
      <c r="J575" s="257" t="s">
        <v>188</v>
      </c>
      <c r="K575" s="356"/>
    </row>
    <row r="576" spans="1:11">
      <c r="A576" s="352">
        <v>3884</v>
      </c>
      <c r="B576" s="354">
        <v>41559</v>
      </c>
      <c r="C576" s="257" t="s">
        <v>513</v>
      </c>
      <c r="D576" s="276">
        <v>100</v>
      </c>
      <c r="E576" s="413">
        <f t="shared" si="11"/>
        <v>16.654730776277002</v>
      </c>
      <c r="F576" s="257" t="s">
        <v>403</v>
      </c>
      <c r="G576" s="91" t="s">
        <v>114</v>
      </c>
      <c r="H576" s="355" t="s">
        <v>1071</v>
      </c>
      <c r="I576" s="91" t="s">
        <v>1110</v>
      </c>
      <c r="J576" s="257" t="s">
        <v>188</v>
      </c>
      <c r="K576" s="356" t="s">
        <v>34</v>
      </c>
    </row>
    <row r="577" spans="1:15">
      <c r="A577" s="352">
        <v>3852</v>
      </c>
      <c r="B577" s="354">
        <v>41561</v>
      </c>
      <c r="C577" s="257" t="s">
        <v>958</v>
      </c>
      <c r="D577" s="276">
        <v>15</v>
      </c>
      <c r="E577" s="413">
        <f t="shared" si="11"/>
        <v>2.4982096164415504</v>
      </c>
      <c r="F577" s="257" t="s">
        <v>403</v>
      </c>
      <c r="G577" s="268" t="s">
        <v>106</v>
      </c>
      <c r="H577" s="356" t="s">
        <v>119</v>
      </c>
      <c r="I577" s="91" t="s">
        <v>1110</v>
      </c>
      <c r="J577" s="257" t="s">
        <v>188</v>
      </c>
      <c r="K577" s="356"/>
    </row>
    <row r="578" spans="1:15">
      <c r="A578" s="352">
        <v>3844</v>
      </c>
      <c r="B578" s="354">
        <v>41561</v>
      </c>
      <c r="C578" s="257" t="s">
        <v>965</v>
      </c>
      <c r="D578" s="276">
        <v>390</v>
      </c>
      <c r="E578" s="413">
        <f t="shared" si="11"/>
        <v>64.953450027480315</v>
      </c>
      <c r="F578" s="257" t="s">
        <v>403</v>
      </c>
      <c r="G578" s="268" t="s">
        <v>106</v>
      </c>
      <c r="H578" s="356" t="s">
        <v>119</v>
      </c>
      <c r="I578" s="91" t="s">
        <v>1110</v>
      </c>
      <c r="J578" s="257" t="s">
        <v>188</v>
      </c>
      <c r="K578" s="356"/>
    </row>
    <row r="579" spans="1:15">
      <c r="A579" s="352">
        <v>3850</v>
      </c>
      <c r="B579" s="354">
        <v>41563</v>
      </c>
      <c r="C579" s="257" t="s">
        <v>865</v>
      </c>
      <c r="D579" s="276">
        <v>18000</v>
      </c>
      <c r="E579" s="413">
        <f t="shared" si="11"/>
        <v>2997.8515397298602</v>
      </c>
      <c r="F579" s="257" t="s">
        <v>641</v>
      </c>
      <c r="G579" s="268" t="s">
        <v>106</v>
      </c>
      <c r="H579" s="356" t="s">
        <v>119</v>
      </c>
      <c r="I579" s="91" t="s">
        <v>1110</v>
      </c>
      <c r="J579" s="257" t="s">
        <v>188</v>
      </c>
      <c r="K579" s="356"/>
    </row>
    <row r="580" spans="1:15">
      <c r="A580" s="352">
        <v>3849</v>
      </c>
      <c r="B580" s="354">
        <v>41563</v>
      </c>
      <c r="C580" s="257" t="s">
        <v>866</v>
      </c>
      <c r="D580" s="276">
        <v>27500</v>
      </c>
      <c r="E580" s="413">
        <f t="shared" si="11"/>
        <v>4580.0509634761756</v>
      </c>
      <c r="F580" s="257" t="s">
        <v>867</v>
      </c>
      <c r="G580" s="268" t="s">
        <v>106</v>
      </c>
      <c r="H580" s="356" t="s">
        <v>119</v>
      </c>
      <c r="I580" s="91" t="s">
        <v>1110</v>
      </c>
      <c r="J580" s="257" t="s">
        <v>188</v>
      </c>
      <c r="K580" s="356"/>
    </row>
    <row r="581" spans="1:15" ht="15">
      <c r="A581" s="352">
        <v>3924</v>
      </c>
      <c r="B581" s="354">
        <v>41570</v>
      </c>
      <c r="C581" s="257" t="s">
        <v>871</v>
      </c>
      <c r="D581" s="424"/>
      <c r="E581" s="413">
        <v>221.87</v>
      </c>
      <c r="F581" s="257" t="s">
        <v>872</v>
      </c>
      <c r="G581" s="91" t="s">
        <v>132</v>
      </c>
      <c r="H581" s="355" t="s">
        <v>118</v>
      </c>
      <c r="I581" s="91" t="s">
        <v>1110</v>
      </c>
      <c r="J581" s="257" t="s">
        <v>102</v>
      </c>
      <c r="K581" s="355" t="s">
        <v>23</v>
      </c>
    </row>
    <row r="582" spans="1:15">
      <c r="A582" s="352">
        <v>3886</v>
      </c>
      <c r="B582" s="354">
        <v>41572</v>
      </c>
      <c r="C582" s="268" t="s">
        <v>1160</v>
      </c>
      <c r="D582" s="276">
        <v>4000</v>
      </c>
      <c r="E582" s="413">
        <f t="shared" ref="E582:E587" si="12">D582/6.0043</f>
        <v>666.18923105108013</v>
      </c>
      <c r="F582" s="257" t="s">
        <v>184</v>
      </c>
      <c r="G582" s="92" t="s">
        <v>111</v>
      </c>
      <c r="H582" s="356" t="s">
        <v>119</v>
      </c>
      <c r="I582" s="91" t="s">
        <v>1110</v>
      </c>
      <c r="J582" s="257" t="s">
        <v>188</v>
      </c>
      <c r="K582" s="355"/>
    </row>
    <row r="583" spans="1:15">
      <c r="A583" s="352">
        <v>3888</v>
      </c>
      <c r="B583" s="354">
        <v>41577</v>
      </c>
      <c r="C583" s="268" t="s">
        <v>1161</v>
      </c>
      <c r="D583" s="276">
        <v>500</v>
      </c>
      <c r="E583" s="413">
        <f t="shared" si="12"/>
        <v>83.273653881385016</v>
      </c>
      <c r="F583" s="257" t="s">
        <v>184</v>
      </c>
      <c r="G583" s="92" t="s">
        <v>111</v>
      </c>
      <c r="H583" s="356" t="s">
        <v>119</v>
      </c>
      <c r="I583" s="91" t="s">
        <v>1110</v>
      </c>
      <c r="J583" s="257" t="s">
        <v>188</v>
      </c>
      <c r="K583" s="355"/>
    </row>
    <row r="584" spans="1:15">
      <c r="A584" s="352">
        <v>3896</v>
      </c>
      <c r="B584" s="354">
        <v>41578</v>
      </c>
      <c r="C584" s="257" t="s">
        <v>979</v>
      </c>
      <c r="D584" s="276">
        <v>5500</v>
      </c>
      <c r="E584" s="413">
        <f t="shared" si="12"/>
        <v>916.01019269523511</v>
      </c>
      <c r="F584" s="257" t="s">
        <v>509</v>
      </c>
      <c r="G584" s="91" t="s">
        <v>108</v>
      </c>
      <c r="H584" s="355" t="s">
        <v>1071</v>
      </c>
      <c r="I584" s="91" t="s">
        <v>1110</v>
      </c>
      <c r="J584" s="257" t="s">
        <v>188</v>
      </c>
      <c r="K584" s="355" t="s">
        <v>32</v>
      </c>
    </row>
    <row r="585" spans="1:15">
      <c r="A585" s="352">
        <v>3892</v>
      </c>
      <c r="B585" s="354">
        <v>41578</v>
      </c>
      <c r="C585" s="257" t="s">
        <v>1126</v>
      </c>
      <c r="D585" s="276">
        <v>13000</v>
      </c>
      <c r="E585" s="413">
        <f t="shared" si="12"/>
        <v>2165.1150009160101</v>
      </c>
      <c r="F585" s="257" t="s">
        <v>304</v>
      </c>
      <c r="G585" s="91" t="s">
        <v>108</v>
      </c>
      <c r="H585" s="355" t="s">
        <v>1071</v>
      </c>
      <c r="I585" s="91" t="s">
        <v>1110</v>
      </c>
      <c r="J585" s="257" t="s">
        <v>188</v>
      </c>
      <c r="K585" s="356" t="s">
        <v>30</v>
      </c>
    </row>
    <row r="586" spans="1:15">
      <c r="A586" s="352">
        <v>3926</v>
      </c>
      <c r="B586" s="354">
        <v>41578</v>
      </c>
      <c r="C586" s="257" t="s">
        <v>1137</v>
      </c>
      <c r="D586" s="276">
        <v>6000</v>
      </c>
      <c r="E586" s="413">
        <f t="shared" si="12"/>
        <v>999.28384657662014</v>
      </c>
      <c r="F586" s="257" t="s">
        <v>404</v>
      </c>
      <c r="G586" s="91" t="s">
        <v>108</v>
      </c>
      <c r="H586" s="355" t="s">
        <v>1071</v>
      </c>
      <c r="I586" s="91" t="s">
        <v>1110</v>
      </c>
      <c r="J586" s="91" t="s">
        <v>291</v>
      </c>
      <c r="K586" s="355" t="s">
        <v>32</v>
      </c>
    </row>
    <row r="587" spans="1:15">
      <c r="A587" s="352">
        <v>3895</v>
      </c>
      <c r="B587" s="354">
        <v>41578</v>
      </c>
      <c r="C587" s="257" t="s">
        <v>980</v>
      </c>
      <c r="D587" s="276">
        <v>3000</v>
      </c>
      <c r="E587" s="413">
        <f t="shared" si="12"/>
        <v>499.64192328831007</v>
      </c>
      <c r="F587" s="257" t="s">
        <v>510</v>
      </c>
      <c r="G587" s="91" t="s">
        <v>108</v>
      </c>
      <c r="H587" s="355" t="s">
        <v>118</v>
      </c>
      <c r="I587" s="91" t="s">
        <v>1110</v>
      </c>
      <c r="J587" s="257" t="s">
        <v>188</v>
      </c>
      <c r="K587" s="355" t="s">
        <v>24</v>
      </c>
    </row>
    <row r="588" spans="1:15" ht="15">
      <c r="A588" s="260">
        <v>3949</v>
      </c>
      <c r="B588" s="265">
        <v>41578</v>
      </c>
      <c r="C588" s="267" t="s">
        <v>1033</v>
      </c>
      <c r="D588" s="425"/>
      <c r="E588" s="413">
        <v>45</v>
      </c>
      <c r="F588" s="267" t="s">
        <v>363</v>
      </c>
      <c r="G588" s="91" t="s">
        <v>114</v>
      </c>
      <c r="H588" s="355" t="s">
        <v>1071</v>
      </c>
      <c r="I588" s="91" t="s">
        <v>1110</v>
      </c>
      <c r="J588" s="267" t="s">
        <v>95</v>
      </c>
      <c r="K588" s="356" t="s">
        <v>29</v>
      </c>
      <c r="L588" s="416" t="s">
        <v>402</v>
      </c>
      <c r="M588" s="267" t="s">
        <v>402</v>
      </c>
      <c r="N588" s="374" t="s">
        <v>402</v>
      </c>
      <c r="O588" s="218"/>
    </row>
    <row r="589" spans="1:15">
      <c r="A589" s="352">
        <v>3883</v>
      </c>
      <c r="B589" s="354">
        <v>41578</v>
      </c>
      <c r="C589" s="257" t="s">
        <v>983</v>
      </c>
      <c r="D589" s="276">
        <v>12000</v>
      </c>
      <c r="E589" s="413">
        <f>D589/6.0043</f>
        <v>1998.5676931532403</v>
      </c>
      <c r="F589" s="257" t="s">
        <v>608</v>
      </c>
      <c r="G589" s="92" t="s">
        <v>111</v>
      </c>
      <c r="H589" s="356" t="s">
        <v>119</v>
      </c>
      <c r="I589" s="91" t="s">
        <v>1110</v>
      </c>
      <c r="J589" s="268" t="s">
        <v>894</v>
      </c>
      <c r="K589" s="355"/>
    </row>
    <row r="590" spans="1:15">
      <c r="A590" s="352">
        <v>3887</v>
      </c>
      <c r="B590" s="354">
        <v>41578</v>
      </c>
      <c r="C590" s="257" t="s">
        <v>1175</v>
      </c>
      <c r="D590" s="276">
        <v>12000</v>
      </c>
      <c r="E590" s="413">
        <f>D590/6.0043</f>
        <v>1998.5676931532403</v>
      </c>
      <c r="F590" s="257" t="s">
        <v>608</v>
      </c>
      <c r="G590" s="92" t="s">
        <v>111</v>
      </c>
      <c r="H590" s="356" t="s">
        <v>119</v>
      </c>
      <c r="I590" s="91" t="s">
        <v>1110</v>
      </c>
      <c r="J590" s="268" t="s">
        <v>188</v>
      </c>
      <c r="K590" s="355"/>
    </row>
    <row r="591" spans="1:15" s="350" customFormat="1" ht="15">
      <c r="A591" s="260">
        <v>3984</v>
      </c>
      <c r="B591" s="265">
        <v>41581</v>
      </c>
      <c r="C591" s="259" t="s">
        <v>574</v>
      </c>
      <c r="D591" s="426"/>
      <c r="E591" s="413">
        <v>200</v>
      </c>
      <c r="F591" s="259" t="s">
        <v>185</v>
      </c>
      <c r="G591" s="92" t="s">
        <v>113</v>
      </c>
      <c r="H591" s="408" t="s">
        <v>123</v>
      </c>
      <c r="I591" s="91" t="s">
        <v>1110</v>
      </c>
      <c r="J591" s="259" t="s">
        <v>95</v>
      </c>
      <c r="K591" s="356"/>
      <c r="L591" s="416" t="s">
        <v>402</v>
      </c>
      <c r="M591" s="259" t="s">
        <v>402</v>
      </c>
      <c r="N591" s="260" t="s">
        <v>402</v>
      </c>
      <c r="O591" s="218"/>
    </row>
    <row r="592" spans="1:15" s="123" customFormat="1">
      <c r="A592" s="260">
        <v>3929</v>
      </c>
      <c r="B592" s="265">
        <v>41581</v>
      </c>
      <c r="C592" s="259" t="s">
        <v>1034</v>
      </c>
      <c r="D592" s="262">
        <v>35</v>
      </c>
      <c r="E592" s="413">
        <f t="shared" ref="E592:E597" si="13">D592/6.0045</f>
        <v>5.8289616121242398</v>
      </c>
      <c r="F592" s="259" t="s">
        <v>403</v>
      </c>
      <c r="G592" s="268" t="s">
        <v>106</v>
      </c>
      <c r="H592" s="355" t="s">
        <v>1071</v>
      </c>
      <c r="I592" s="91" t="s">
        <v>1110</v>
      </c>
      <c r="J592" s="91" t="s">
        <v>291</v>
      </c>
      <c r="K592" s="355" t="s">
        <v>34</v>
      </c>
      <c r="L592" s="416" t="s">
        <v>402</v>
      </c>
      <c r="M592" s="259" t="s">
        <v>402</v>
      </c>
      <c r="N592" s="260" t="s">
        <v>402</v>
      </c>
      <c r="O592" s="88"/>
    </row>
    <row r="593" spans="1:15" s="123" customFormat="1">
      <c r="A593" s="260">
        <v>3928</v>
      </c>
      <c r="B593" s="265">
        <v>41581</v>
      </c>
      <c r="C593" s="259" t="s">
        <v>914</v>
      </c>
      <c r="D593" s="262">
        <v>230</v>
      </c>
      <c r="E593" s="413">
        <f t="shared" si="13"/>
        <v>38.304604879673576</v>
      </c>
      <c r="F593" s="259" t="s">
        <v>403</v>
      </c>
      <c r="G593" s="268" t="s">
        <v>106</v>
      </c>
      <c r="H593" s="355" t="s">
        <v>1071</v>
      </c>
      <c r="I593" s="91" t="s">
        <v>1110</v>
      </c>
      <c r="J593" s="91" t="s">
        <v>291</v>
      </c>
      <c r="K593" s="355" t="s">
        <v>34</v>
      </c>
      <c r="L593" s="416" t="s">
        <v>402</v>
      </c>
      <c r="M593" s="259" t="s">
        <v>402</v>
      </c>
      <c r="N593" s="260" t="s">
        <v>402</v>
      </c>
      <c r="O593" s="88"/>
    </row>
    <row r="594" spans="1:15" s="123" customFormat="1">
      <c r="A594" s="260">
        <v>3970</v>
      </c>
      <c r="B594" s="265">
        <v>41582</v>
      </c>
      <c r="C594" s="259" t="s">
        <v>180</v>
      </c>
      <c r="D594" s="262">
        <v>50</v>
      </c>
      <c r="E594" s="413">
        <f t="shared" si="13"/>
        <v>8.3270880173203423</v>
      </c>
      <c r="F594" s="259" t="s">
        <v>403</v>
      </c>
      <c r="G594" s="91" t="s">
        <v>114</v>
      </c>
      <c r="H594" s="355" t="s">
        <v>1071</v>
      </c>
      <c r="I594" s="91" t="s">
        <v>1110</v>
      </c>
      <c r="J594" s="91" t="s">
        <v>291</v>
      </c>
      <c r="K594" s="356" t="s">
        <v>34</v>
      </c>
      <c r="L594" s="416" t="s">
        <v>402</v>
      </c>
      <c r="M594" s="259" t="s">
        <v>402</v>
      </c>
      <c r="N594" s="260" t="s">
        <v>402</v>
      </c>
      <c r="O594" s="218"/>
    </row>
    <row r="595" spans="1:15" s="123" customFormat="1">
      <c r="A595" s="260">
        <v>3930</v>
      </c>
      <c r="B595" s="265">
        <v>41582</v>
      </c>
      <c r="C595" s="259" t="s">
        <v>915</v>
      </c>
      <c r="D595" s="262">
        <v>392</v>
      </c>
      <c r="E595" s="413">
        <f t="shared" si="13"/>
        <v>65.284370055791484</v>
      </c>
      <c r="F595" s="259" t="s">
        <v>354</v>
      </c>
      <c r="G595" s="91" t="s">
        <v>114</v>
      </c>
      <c r="H595" s="355" t="s">
        <v>1071</v>
      </c>
      <c r="I595" s="91" t="s">
        <v>1110</v>
      </c>
      <c r="J595" s="259" t="s">
        <v>894</v>
      </c>
      <c r="K595" s="356" t="s">
        <v>29</v>
      </c>
      <c r="L595" s="416" t="s">
        <v>402</v>
      </c>
      <c r="M595" s="259" t="s">
        <v>402</v>
      </c>
      <c r="N595" s="260" t="s">
        <v>402</v>
      </c>
      <c r="O595" s="88"/>
    </row>
    <row r="596" spans="1:15" s="123" customFormat="1">
      <c r="A596" s="260">
        <v>3927</v>
      </c>
      <c r="B596" s="265">
        <v>41583</v>
      </c>
      <c r="C596" s="259" t="s">
        <v>916</v>
      </c>
      <c r="D596" s="262">
        <v>3098.49</v>
      </c>
      <c r="E596" s="413">
        <f t="shared" si="13"/>
        <v>516.0279790157382</v>
      </c>
      <c r="F596" s="259" t="s">
        <v>603</v>
      </c>
      <c r="G596" s="91" t="s">
        <v>52</v>
      </c>
      <c r="H596" s="355" t="s">
        <v>118</v>
      </c>
      <c r="I596" s="91" t="s">
        <v>1110</v>
      </c>
      <c r="J596" s="91" t="s">
        <v>291</v>
      </c>
      <c r="K596" s="355" t="s">
        <v>25</v>
      </c>
      <c r="L596" s="416" t="s">
        <v>402</v>
      </c>
      <c r="M596" s="259" t="s">
        <v>402</v>
      </c>
      <c r="N596" s="260" t="s">
        <v>402</v>
      </c>
      <c r="O596" s="88"/>
    </row>
    <row r="597" spans="1:15" s="123" customFormat="1">
      <c r="A597" s="260">
        <v>3978</v>
      </c>
      <c r="B597" s="265">
        <v>41586</v>
      </c>
      <c r="C597" s="259" t="s">
        <v>918</v>
      </c>
      <c r="D597" s="262">
        <v>33</v>
      </c>
      <c r="E597" s="413">
        <f t="shared" si="13"/>
        <v>5.4958780914314262</v>
      </c>
      <c r="F597" s="259" t="s">
        <v>179</v>
      </c>
      <c r="G597" s="91" t="s">
        <v>132</v>
      </c>
      <c r="H597" s="355" t="s">
        <v>1071</v>
      </c>
      <c r="I597" s="91" t="s">
        <v>1110</v>
      </c>
      <c r="J597" s="91" t="s">
        <v>291</v>
      </c>
      <c r="K597" s="356" t="s">
        <v>29</v>
      </c>
      <c r="L597" s="416" t="s">
        <v>402</v>
      </c>
      <c r="M597" s="259" t="s">
        <v>402</v>
      </c>
      <c r="N597" s="260" t="s">
        <v>402</v>
      </c>
      <c r="O597" s="218"/>
    </row>
    <row r="598" spans="1:15" s="123" customFormat="1" ht="15">
      <c r="A598" s="260">
        <v>3972</v>
      </c>
      <c r="B598" s="265">
        <v>41591</v>
      </c>
      <c r="C598" s="259" t="s">
        <v>925</v>
      </c>
      <c r="D598" s="426"/>
      <c r="E598" s="413">
        <v>1457.45</v>
      </c>
      <c r="F598" s="259" t="s">
        <v>754</v>
      </c>
      <c r="G598" s="91" t="s">
        <v>132</v>
      </c>
      <c r="H598" s="355" t="s">
        <v>1071</v>
      </c>
      <c r="I598" s="91" t="s">
        <v>1110</v>
      </c>
      <c r="J598" s="259" t="s">
        <v>975</v>
      </c>
      <c r="K598" s="356" t="s">
        <v>29</v>
      </c>
      <c r="L598" s="416" t="s">
        <v>402</v>
      </c>
      <c r="M598" s="259" t="s">
        <v>402</v>
      </c>
      <c r="N598" s="260" t="s">
        <v>402</v>
      </c>
      <c r="O598" s="218"/>
    </row>
    <row r="599" spans="1:15" s="123" customFormat="1">
      <c r="A599" s="260">
        <v>3979</v>
      </c>
      <c r="B599" s="265">
        <v>41591</v>
      </c>
      <c r="C599" s="259" t="s">
        <v>924</v>
      </c>
      <c r="D599" s="262">
        <v>60</v>
      </c>
      <c r="E599" s="413">
        <f>D599/6.0045</f>
        <v>9.9925056207844118</v>
      </c>
      <c r="F599" s="259" t="s">
        <v>179</v>
      </c>
      <c r="G599" s="91" t="s">
        <v>132</v>
      </c>
      <c r="H599" s="355" t="s">
        <v>1071</v>
      </c>
      <c r="I599" s="91" t="s">
        <v>1110</v>
      </c>
      <c r="J599" s="91" t="s">
        <v>291</v>
      </c>
      <c r="K599" s="356" t="s">
        <v>29</v>
      </c>
      <c r="L599" s="416" t="s">
        <v>402</v>
      </c>
      <c r="M599" s="259" t="s">
        <v>402</v>
      </c>
      <c r="N599" s="260" t="s">
        <v>402</v>
      </c>
      <c r="O599" s="218"/>
    </row>
    <row r="600" spans="1:15" s="123" customFormat="1">
      <c r="A600" s="260">
        <v>3969</v>
      </c>
      <c r="B600" s="265">
        <v>41591</v>
      </c>
      <c r="C600" s="259" t="s">
        <v>926</v>
      </c>
      <c r="D600" s="262">
        <v>940</v>
      </c>
      <c r="E600" s="413">
        <f>D600/6.0045</f>
        <v>156.54925472562243</v>
      </c>
      <c r="F600" s="259" t="s">
        <v>874</v>
      </c>
      <c r="G600" s="268" t="s">
        <v>1083</v>
      </c>
      <c r="H600" s="355" t="s">
        <v>118</v>
      </c>
      <c r="I600" s="91" t="s">
        <v>1110</v>
      </c>
      <c r="J600" s="91" t="s">
        <v>291</v>
      </c>
      <c r="K600" s="356" t="s">
        <v>25</v>
      </c>
      <c r="L600" s="416" t="s">
        <v>402</v>
      </c>
      <c r="M600" s="259" t="s">
        <v>402</v>
      </c>
      <c r="N600" s="260" t="s">
        <v>402</v>
      </c>
      <c r="O600" s="218"/>
    </row>
    <row r="601" spans="1:15" s="123" customFormat="1" ht="15">
      <c r="A601" s="260">
        <v>3973</v>
      </c>
      <c r="B601" s="265">
        <v>41594</v>
      </c>
      <c r="C601" s="259" t="s">
        <v>1035</v>
      </c>
      <c r="D601" s="426"/>
      <c r="E601" s="413">
        <v>213.9</v>
      </c>
      <c r="F601" s="259" t="s">
        <v>1036</v>
      </c>
      <c r="G601" s="91" t="s">
        <v>132</v>
      </c>
      <c r="H601" s="355" t="s">
        <v>1071</v>
      </c>
      <c r="I601" s="91" t="s">
        <v>1110</v>
      </c>
      <c r="J601" s="259" t="s">
        <v>975</v>
      </c>
      <c r="K601" s="356" t="s">
        <v>29</v>
      </c>
      <c r="L601" s="416" t="s">
        <v>402</v>
      </c>
      <c r="M601" s="259" t="s">
        <v>402</v>
      </c>
      <c r="N601" s="260" t="s">
        <v>402</v>
      </c>
      <c r="O601" s="218"/>
    </row>
    <row r="602" spans="1:15" s="123" customFormat="1">
      <c r="A602" s="260">
        <v>3982</v>
      </c>
      <c r="B602" s="265">
        <v>41595</v>
      </c>
      <c r="C602" s="259" t="s">
        <v>1037</v>
      </c>
      <c r="D602" s="262">
        <v>10</v>
      </c>
      <c r="E602" s="413">
        <f>D602/6.0045</f>
        <v>1.6654176034640686</v>
      </c>
      <c r="F602" s="259" t="s">
        <v>750</v>
      </c>
      <c r="G602" s="91" t="s">
        <v>114</v>
      </c>
      <c r="H602" s="355" t="s">
        <v>1071</v>
      </c>
      <c r="I602" s="91" t="s">
        <v>1110</v>
      </c>
      <c r="J602" s="259" t="s">
        <v>96</v>
      </c>
      <c r="K602" s="356" t="s">
        <v>29</v>
      </c>
      <c r="L602" s="416" t="s">
        <v>402</v>
      </c>
      <c r="M602" s="259" t="s">
        <v>402</v>
      </c>
      <c r="N602" s="260" t="s">
        <v>402</v>
      </c>
      <c r="O602" s="218"/>
    </row>
    <row r="603" spans="1:15" s="123" customFormat="1" ht="15">
      <c r="A603" s="260">
        <v>3971</v>
      </c>
      <c r="B603" s="265">
        <v>41595</v>
      </c>
      <c r="C603" s="259" t="s">
        <v>1038</v>
      </c>
      <c r="D603" s="426"/>
      <c r="E603" s="413">
        <v>434.1</v>
      </c>
      <c r="F603" s="259" t="s">
        <v>1039</v>
      </c>
      <c r="G603" s="91" t="s">
        <v>132</v>
      </c>
      <c r="H603" s="355" t="s">
        <v>1071</v>
      </c>
      <c r="I603" s="91" t="s">
        <v>1110</v>
      </c>
      <c r="J603" s="259" t="s">
        <v>975</v>
      </c>
      <c r="K603" s="355" t="s">
        <v>39</v>
      </c>
      <c r="L603" s="416" t="s">
        <v>402</v>
      </c>
      <c r="M603" s="259" t="s">
        <v>402</v>
      </c>
      <c r="N603" s="260" t="s">
        <v>402</v>
      </c>
      <c r="O603" s="218"/>
    </row>
    <row r="604" spans="1:15" s="123" customFormat="1">
      <c r="A604" s="260">
        <v>3968</v>
      </c>
      <c r="B604" s="265">
        <v>41596</v>
      </c>
      <c r="C604" s="259" t="s">
        <v>1040</v>
      </c>
      <c r="D604" s="262">
        <v>18</v>
      </c>
      <c r="E604" s="413">
        <f>D604/6.0045</f>
        <v>2.9977516862353233</v>
      </c>
      <c r="F604" s="259" t="s">
        <v>403</v>
      </c>
      <c r="G604" s="91" t="s">
        <v>114</v>
      </c>
      <c r="H604" s="355" t="s">
        <v>1071</v>
      </c>
      <c r="I604" s="91" t="s">
        <v>1110</v>
      </c>
      <c r="J604" s="91" t="s">
        <v>291</v>
      </c>
      <c r="K604" s="356" t="s">
        <v>29</v>
      </c>
      <c r="L604" s="416" t="s">
        <v>402</v>
      </c>
      <c r="M604" s="259" t="s">
        <v>402</v>
      </c>
      <c r="N604" s="260" t="s">
        <v>402</v>
      </c>
      <c r="O604" s="218"/>
    </row>
    <row r="605" spans="1:15" s="123" customFormat="1" ht="15">
      <c r="A605" s="260">
        <v>3975</v>
      </c>
      <c r="B605" s="265">
        <v>41597</v>
      </c>
      <c r="C605" s="259" t="s">
        <v>1041</v>
      </c>
      <c r="D605" s="426"/>
      <c r="E605" s="413">
        <v>306.95</v>
      </c>
      <c r="F605" s="259" t="s">
        <v>1042</v>
      </c>
      <c r="G605" s="91" t="s">
        <v>132</v>
      </c>
      <c r="H605" s="355" t="s">
        <v>1071</v>
      </c>
      <c r="I605" s="91" t="s">
        <v>1110</v>
      </c>
      <c r="J605" s="259" t="s">
        <v>975</v>
      </c>
      <c r="K605" s="355" t="s">
        <v>39</v>
      </c>
      <c r="L605" s="416" t="s">
        <v>402</v>
      </c>
      <c r="M605" s="259" t="s">
        <v>402</v>
      </c>
      <c r="N605" s="260" t="s">
        <v>402</v>
      </c>
      <c r="O605" s="218"/>
    </row>
    <row r="606" spans="1:15" s="123" customFormat="1">
      <c r="A606" s="260">
        <v>3967</v>
      </c>
      <c r="B606" s="265">
        <v>41598</v>
      </c>
      <c r="C606" s="259" t="s">
        <v>1045</v>
      </c>
      <c r="D606" s="262">
        <v>55</v>
      </c>
      <c r="E606" s="413">
        <f>D606/6.0045</f>
        <v>9.159796819052378</v>
      </c>
      <c r="F606" s="259" t="s">
        <v>403</v>
      </c>
      <c r="G606" s="91" t="s">
        <v>114</v>
      </c>
      <c r="H606" s="355" t="s">
        <v>1071</v>
      </c>
      <c r="I606" s="91" t="s">
        <v>1110</v>
      </c>
      <c r="J606" s="91" t="s">
        <v>291</v>
      </c>
      <c r="K606" s="356" t="s">
        <v>29</v>
      </c>
      <c r="L606" s="416" t="s">
        <v>402</v>
      </c>
      <c r="M606" s="259" t="s">
        <v>402</v>
      </c>
      <c r="N606" s="260" t="s">
        <v>402</v>
      </c>
      <c r="O606" s="218"/>
    </row>
    <row r="607" spans="1:15" s="123" customFormat="1" ht="15">
      <c r="A607" s="260">
        <v>3983</v>
      </c>
      <c r="B607" s="265">
        <v>41598</v>
      </c>
      <c r="C607" s="259" t="s">
        <v>1043</v>
      </c>
      <c r="D607" s="426"/>
      <c r="E607" s="413">
        <v>61</v>
      </c>
      <c r="F607" s="259" t="s">
        <v>381</v>
      </c>
      <c r="G607" s="91" t="s">
        <v>132</v>
      </c>
      <c r="H607" s="355" t="s">
        <v>1071</v>
      </c>
      <c r="I607" s="91" t="s">
        <v>1110</v>
      </c>
      <c r="J607" s="259" t="s">
        <v>975</v>
      </c>
      <c r="K607" s="355" t="s">
        <v>29</v>
      </c>
      <c r="L607" s="416" t="s">
        <v>402</v>
      </c>
      <c r="M607" s="259" t="s">
        <v>402</v>
      </c>
      <c r="N607" s="260" t="s">
        <v>402</v>
      </c>
      <c r="O607" s="218"/>
    </row>
    <row r="608" spans="1:15" s="123" customFormat="1">
      <c r="A608" s="260">
        <v>3980</v>
      </c>
      <c r="B608" s="265">
        <v>41598</v>
      </c>
      <c r="C608" s="259" t="s">
        <v>1044</v>
      </c>
      <c r="D608" s="262">
        <v>89</v>
      </c>
      <c r="E608" s="413">
        <f>D608/6.0045</f>
        <v>14.82221667083021</v>
      </c>
      <c r="F608" s="259" t="s">
        <v>179</v>
      </c>
      <c r="G608" s="91" t="s">
        <v>132</v>
      </c>
      <c r="H608" s="355" t="s">
        <v>1071</v>
      </c>
      <c r="I608" s="91" t="s">
        <v>1110</v>
      </c>
      <c r="J608" s="91" t="s">
        <v>291</v>
      </c>
      <c r="K608" s="355" t="s">
        <v>29</v>
      </c>
      <c r="L608" s="416" t="s">
        <v>402</v>
      </c>
      <c r="M608" s="259" t="s">
        <v>402</v>
      </c>
      <c r="N608" s="260" t="s">
        <v>402</v>
      </c>
      <c r="O608" s="218"/>
    </row>
    <row r="609" spans="1:15" s="123" customFormat="1">
      <c r="A609" s="260">
        <v>3964</v>
      </c>
      <c r="B609" s="265">
        <v>41599</v>
      </c>
      <c r="C609" s="259" t="s">
        <v>733</v>
      </c>
      <c r="D609" s="262">
        <v>38</v>
      </c>
      <c r="E609" s="413">
        <f>D609/6.0045</f>
        <v>6.3285868931634601</v>
      </c>
      <c r="F609" s="259" t="s">
        <v>609</v>
      </c>
      <c r="G609" s="91" t="s">
        <v>114</v>
      </c>
      <c r="H609" s="355" t="s">
        <v>1071</v>
      </c>
      <c r="I609" s="91" t="s">
        <v>1110</v>
      </c>
      <c r="J609" s="91" t="s">
        <v>291</v>
      </c>
      <c r="K609" s="356" t="s">
        <v>29</v>
      </c>
      <c r="L609" s="416" t="s">
        <v>402</v>
      </c>
      <c r="M609" s="259" t="s">
        <v>402</v>
      </c>
      <c r="N609" s="260" t="s">
        <v>402</v>
      </c>
      <c r="O609" s="218"/>
    </row>
    <row r="610" spans="1:15" s="123" customFormat="1" ht="15">
      <c r="A610" s="260">
        <v>3987</v>
      </c>
      <c r="B610" s="265">
        <v>41600</v>
      </c>
      <c r="C610" s="259" t="s">
        <v>1046</v>
      </c>
      <c r="D610" s="426"/>
      <c r="E610" s="413">
        <v>83</v>
      </c>
      <c r="F610" s="259" t="s">
        <v>1036</v>
      </c>
      <c r="G610" s="91" t="s">
        <v>132</v>
      </c>
      <c r="H610" s="355" t="s">
        <v>1071</v>
      </c>
      <c r="I610" s="91" t="s">
        <v>1110</v>
      </c>
      <c r="J610" s="259" t="s">
        <v>975</v>
      </c>
      <c r="K610" s="356" t="s">
        <v>29</v>
      </c>
      <c r="L610" s="416" t="s">
        <v>402</v>
      </c>
      <c r="M610" s="259" t="s">
        <v>402</v>
      </c>
      <c r="N610" s="260" t="s">
        <v>402</v>
      </c>
      <c r="O610" s="218"/>
    </row>
    <row r="611" spans="1:15" s="123" customFormat="1" ht="15">
      <c r="A611" s="260">
        <v>3974</v>
      </c>
      <c r="B611" s="265">
        <v>41600</v>
      </c>
      <c r="C611" s="259" t="s">
        <v>1047</v>
      </c>
      <c r="D611" s="426"/>
      <c r="E611" s="413">
        <v>10</v>
      </c>
      <c r="F611" s="259" t="s">
        <v>1048</v>
      </c>
      <c r="G611" s="91" t="s">
        <v>132</v>
      </c>
      <c r="H611" s="355" t="s">
        <v>1071</v>
      </c>
      <c r="I611" s="91" t="s">
        <v>1110</v>
      </c>
      <c r="J611" s="259" t="s">
        <v>975</v>
      </c>
      <c r="K611" s="356" t="s">
        <v>39</v>
      </c>
      <c r="L611" s="416" t="s">
        <v>402</v>
      </c>
      <c r="M611" s="259" t="s">
        <v>402</v>
      </c>
      <c r="N611" s="260" t="s">
        <v>402</v>
      </c>
      <c r="O611" s="218"/>
    </row>
    <row r="612" spans="1:15" s="123" customFormat="1">
      <c r="A612" s="260">
        <v>3965</v>
      </c>
      <c r="B612" s="265">
        <v>41600</v>
      </c>
      <c r="C612" s="259" t="s">
        <v>1051</v>
      </c>
      <c r="D612" s="262">
        <v>23</v>
      </c>
      <c r="E612" s="413">
        <f>D612/6.0045</f>
        <v>3.8304604879673576</v>
      </c>
      <c r="F612" s="259" t="s">
        <v>179</v>
      </c>
      <c r="G612" s="91" t="s">
        <v>132</v>
      </c>
      <c r="H612" s="355" t="s">
        <v>1071</v>
      </c>
      <c r="I612" s="91" t="s">
        <v>1110</v>
      </c>
      <c r="J612" s="91" t="s">
        <v>291</v>
      </c>
      <c r="K612" s="356" t="s">
        <v>29</v>
      </c>
      <c r="L612" s="416" t="s">
        <v>402</v>
      </c>
      <c r="M612" s="259" t="s">
        <v>402</v>
      </c>
      <c r="N612" s="260" t="s">
        <v>402</v>
      </c>
      <c r="O612" s="218"/>
    </row>
    <row r="613" spans="1:15" s="123" customFormat="1">
      <c r="A613" s="260">
        <v>3966</v>
      </c>
      <c r="B613" s="265">
        <v>41600</v>
      </c>
      <c r="C613" s="259" t="s">
        <v>1049</v>
      </c>
      <c r="D613" s="262">
        <v>622</v>
      </c>
      <c r="E613" s="413">
        <f>D613/6.0045</f>
        <v>103.58897493546506</v>
      </c>
      <c r="F613" s="259" t="s">
        <v>1050</v>
      </c>
      <c r="G613" s="268" t="s">
        <v>1083</v>
      </c>
      <c r="H613" s="355" t="s">
        <v>1071</v>
      </c>
      <c r="I613" s="91" t="s">
        <v>1110</v>
      </c>
      <c r="J613" s="91" t="s">
        <v>291</v>
      </c>
      <c r="K613" s="356" t="s">
        <v>32</v>
      </c>
      <c r="L613" s="416" t="s">
        <v>402</v>
      </c>
      <c r="M613" s="259" t="s">
        <v>402</v>
      </c>
      <c r="N613" s="260" t="s">
        <v>402</v>
      </c>
      <c r="O613" s="218"/>
    </row>
    <row r="614" spans="1:15" s="123" customFormat="1" ht="15">
      <c r="A614" s="260">
        <v>3985</v>
      </c>
      <c r="B614" s="265">
        <v>41601</v>
      </c>
      <c r="C614" s="259" t="s">
        <v>951</v>
      </c>
      <c r="D614" s="426"/>
      <c r="E614" s="413">
        <v>21.68</v>
      </c>
      <c r="F614" s="259" t="s">
        <v>765</v>
      </c>
      <c r="G614" s="91" t="s">
        <v>132</v>
      </c>
      <c r="H614" s="355" t="s">
        <v>1071</v>
      </c>
      <c r="I614" s="91" t="s">
        <v>1110</v>
      </c>
      <c r="J614" s="259" t="s">
        <v>975</v>
      </c>
      <c r="K614" s="355" t="s">
        <v>29</v>
      </c>
      <c r="L614" s="416" t="s">
        <v>402</v>
      </c>
      <c r="M614" s="259" t="s">
        <v>402</v>
      </c>
      <c r="N614" s="260" t="s">
        <v>402</v>
      </c>
      <c r="O614" s="218"/>
    </row>
    <row r="615" spans="1:15" s="123" customFormat="1" ht="15">
      <c r="A615" s="260">
        <v>3986</v>
      </c>
      <c r="B615" s="265">
        <v>41601</v>
      </c>
      <c r="C615" s="259" t="s">
        <v>1052</v>
      </c>
      <c r="D615" s="426"/>
      <c r="E615" s="413">
        <v>45.56</v>
      </c>
      <c r="F615" s="259" t="s">
        <v>1053</v>
      </c>
      <c r="G615" s="259" t="s">
        <v>106</v>
      </c>
      <c r="H615" s="355" t="s">
        <v>1071</v>
      </c>
      <c r="I615" s="91" t="s">
        <v>1110</v>
      </c>
      <c r="J615" s="259" t="s">
        <v>975</v>
      </c>
      <c r="K615" s="355" t="s">
        <v>34</v>
      </c>
      <c r="L615" s="416" t="s">
        <v>402</v>
      </c>
      <c r="M615" s="259" t="s">
        <v>402</v>
      </c>
      <c r="N615" s="260" t="s">
        <v>402</v>
      </c>
      <c r="O615" s="218"/>
    </row>
    <row r="616" spans="1:15" s="123" customFormat="1">
      <c r="A616" s="260">
        <v>3961</v>
      </c>
      <c r="B616" s="265">
        <v>41604</v>
      </c>
      <c r="C616" s="259" t="s">
        <v>733</v>
      </c>
      <c r="D616" s="262">
        <v>18</v>
      </c>
      <c r="E616" s="413">
        <f>D616/6.0045</f>
        <v>2.9977516862353233</v>
      </c>
      <c r="F616" s="259" t="s">
        <v>609</v>
      </c>
      <c r="G616" s="91" t="s">
        <v>114</v>
      </c>
      <c r="H616" s="355" t="s">
        <v>1071</v>
      </c>
      <c r="I616" s="91" t="s">
        <v>1110</v>
      </c>
      <c r="J616" s="91" t="s">
        <v>291</v>
      </c>
      <c r="K616" s="356" t="s">
        <v>29</v>
      </c>
      <c r="L616" s="416" t="s">
        <v>402</v>
      </c>
      <c r="M616" s="259" t="s">
        <v>402</v>
      </c>
      <c r="N616" s="260" t="s">
        <v>402</v>
      </c>
      <c r="O616" s="218"/>
    </row>
    <row r="617" spans="1:15" s="123" customFormat="1">
      <c r="A617" s="260">
        <v>3962</v>
      </c>
      <c r="B617" s="265">
        <v>41605</v>
      </c>
      <c r="C617" s="259" t="s">
        <v>969</v>
      </c>
      <c r="D617" s="262">
        <v>900</v>
      </c>
      <c r="E617" s="413">
        <f>D617/6.0045</f>
        <v>149.88758431176618</v>
      </c>
      <c r="F617" s="259" t="s">
        <v>469</v>
      </c>
      <c r="G617" s="259" t="s">
        <v>108</v>
      </c>
      <c r="H617" s="355" t="s">
        <v>1071</v>
      </c>
      <c r="I617" s="91" t="s">
        <v>1110</v>
      </c>
      <c r="J617" s="259" t="s">
        <v>97</v>
      </c>
      <c r="K617" s="356" t="s">
        <v>29</v>
      </c>
      <c r="L617" s="416" t="s">
        <v>402</v>
      </c>
      <c r="M617" s="259" t="s">
        <v>402</v>
      </c>
      <c r="N617" s="260" t="s">
        <v>402</v>
      </c>
      <c r="O617" s="218"/>
    </row>
    <row r="618" spans="1:15" s="123" customFormat="1">
      <c r="A618" s="260">
        <v>3981</v>
      </c>
      <c r="B618" s="265">
        <v>41606</v>
      </c>
      <c r="C618" s="259" t="s">
        <v>970</v>
      </c>
      <c r="D618" s="262">
        <v>110</v>
      </c>
      <c r="E618" s="413">
        <f>D618/6.0045</f>
        <v>18.319593638104756</v>
      </c>
      <c r="F618" s="259" t="s">
        <v>179</v>
      </c>
      <c r="G618" s="91" t="s">
        <v>132</v>
      </c>
      <c r="H618" s="355" t="s">
        <v>1071</v>
      </c>
      <c r="I618" s="91" t="s">
        <v>1110</v>
      </c>
      <c r="J618" s="91" t="s">
        <v>291</v>
      </c>
      <c r="K618" s="355" t="s">
        <v>29</v>
      </c>
      <c r="L618" s="416" t="s">
        <v>402</v>
      </c>
      <c r="M618" s="259" t="s">
        <v>402</v>
      </c>
      <c r="N618" s="260" t="s">
        <v>402</v>
      </c>
      <c r="O618" s="218"/>
    </row>
    <row r="619" spans="1:15" s="123" customFormat="1">
      <c r="A619" s="260">
        <v>3976</v>
      </c>
      <c r="B619" s="265">
        <v>41608</v>
      </c>
      <c r="C619" s="259" t="s">
        <v>971</v>
      </c>
      <c r="D619" s="262">
        <v>600</v>
      </c>
      <c r="E619" s="413">
        <f>D619/6.0045</f>
        <v>99.925056207844108</v>
      </c>
      <c r="F619" s="259" t="s">
        <v>874</v>
      </c>
      <c r="G619" s="268" t="s">
        <v>1083</v>
      </c>
      <c r="H619" s="355" t="s">
        <v>1071</v>
      </c>
      <c r="I619" s="91" t="s">
        <v>1110</v>
      </c>
      <c r="J619" s="91" t="s">
        <v>291</v>
      </c>
      <c r="K619" s="356" t="s">
        <v>32</v>
      </c>
      <c r="L619" s="416" t="s">
        <v>402</v>
      </c>
      <c r="M619" s="259" t="s">
        <v>402</v>
      </c>
      <c r="N619" s="260" t="s">
        <v>402</v>
      </c>
      <c r="O619" s="218"/>
    </row>
    <row r="620" spans="1:15" s="123" customFormat="1" ht="15">
      <c r="A620" s="351">
        <v>3996</v>
      </c>
      <c r="B620" s="353">
        <v>41609</v>
      </c>
      <c r="C620" s="264" t="s">
        <v>228</v>
      </c>
      <c r="D620" s="427"/>
      <c r="E620" s="413">
        <v>334.42</v>
      </c>
      <c r="F620" s="264" t="s">
        <v>489</v>
      </c>
      <c r="G620" s="91" t="s">
        <v>132</v>
      </c>
      <c r="H620" s="355" t="s">
        <v>1071</v>
      </c>
      <c r="I620" s="91" t="s">
        <v>1110</v>
      </c>
      <c r="J620" s="91" t="s">
        <v>291</v>
      </c>
      <c r="K620" s="356" t="s">
        <v>29</v>
      </c>
      <c r="L620" s="416" t="s">
        <v>402</v>
      </c>
      <c r="M620" s="264" t="s">
        <v>402</v>
      </c>
      <c r="N620" s="351" t="s">
        <v>402</v>
      </c>
      <c r="O620" s="88"/>
    </row>
    <row r="621" spans="1:15" s="123" customFormat="1" ht="15">
      <c r="A621" s="351">
        <v>4025</v>
      </c>
      <c r="B621" s="353">
        <v>41609</v>
      </c>
      <c r="C621" s="264" t="s">
        <v>227</v>
      </c>
      <c r="D621" s="427"/>
      <c r="E621" s="413">
        <v>320</v>
      </c>
      <c r="F621" s="264" t="s">
        <v>874</v>
      </c>
      <c r="G621" s="268" t="s">
        <v>1083</v>
      </c>
      <c r="H621" s="355" t="s">
        <v>1071</v>
      </c>
      <c r="I621" s="91" t="s">
        <v>1110</v>
      </c>
      <c r="J621" s="264" t="s">
        <v>98</v>
      </c>
      <c r="K621" s="356" t="s">
        <v>29</v>
      </c>
      <c r="L621" s="417">
        <f>SUM(E522:E621)</f>
        <v>34643.86936058088</v>
      </c>
      <c r="M621" s="264" t="s">
        <v>402</v>
      </c>
      <c r="N621" s="351" t="s">
        <v>402</v>
      </c>
      <c r="O621" s="88"/>
    </row>
    <row r="622" spans="1:15" s="123" customFormat="1" ht="15">
      <c r="A622" s="351">
        <v>4039</v>
      </c>
      <c r="B622" s="353">
        <v>41610</v>
      </c>
      <c r="C622" s="264" t="s">
        <v>296</v>
      </c>
      <c r="D622" s="427"/>
      <c r="E622" s="413">
        <v>200</v>
      </c>
      <c r="F622" s="264" t="s">
        <v>185</v>
      </c>
      <c r="G622" s="264" t="s">
        <v>113</v>
      </c>
      <c r="H622" s="408" t="s">
        <v>123</v>
      </c>
      <c r="I622" s="91" t="s">
        <v>1110</v>
      </c>
      <c r="J622" s="264" t="s">
        <v>95</v>
      </c>
      <c r="K622" s="355"/>
      <c r="L622" s="416" t="s">
        <v>402</v>
      </c>
      <c r="M622" s="264" t="s">
        <v>402</v>
      </c>
      <c r="N622" s="351" t="s">
        <v>402</v>
      </c>
      <c r="O622" s="88"/>
    </row>
    <row r="623" spans="1:15" s="123" customFormat="1">
      <c r="A623" s="351">
        <v>3989</v>
      </c>
      <c r="B623" s="353">
        <v>41613</v>
      </c>
      <c r="C623" s="264" t="s">
        <v>1125</v>
      </c>
      <c r="D623" s="278">
        <v>13000</v>
      </c>
      <c r="E623" s="413">
        <f t="shared" ref="E623:E634" si="14">D623/6.0058</f>
        <v>2164.5742448966002</v>
      </c>
      <c r="F623" s="264" t="s">
        <v>304</v>
      </c>
      <c r="G623" s="91" t="s">
        <v>108</v>
      </c>
      <c r="H623" s="355" t="s">
        <v>1071</v>
      </c>
      <c r="I623" s="91" t="s">
        <v>1110</v>
      </c>
      <c r="J623" s="91" t="s">
        <v>291</v>
      </c>
      <c r="K623" s="356" t="s">
        <v>30</v>
      </c>
      <c r="L623" s="416" t="s">
        <v>402</v>
      </c>
      <c r="M623" s="264" t="s">
        <v>402</v>
      </c>
      <c r="N623" s="351" t="s">
        <v>402</v>
      </c>
      <c r="O623" s="88"/>
    </row>
    <row r="624" spans="1:15" s="123" customFormat="1">
      <c r="A624" s="351">
        <v>3991</v>
      </c>
      <c r="B624" s="353">
        <v>41613</v>
      </c>
      <c r="C624" s="264" t="s">
        <v>1136</v>
      </c>
      <c r="D624" s="278">
        <v>6000</v>
      </c>
      <c r="E624" s="413">
        <f t="shared" si="14"/>
        <v>999.03426687535386</v>
      </c>
      <c r="F624" s="264" t="s">
        <v>404</v>
      </c>
      <c r="G624" s="91" t="s">
        <v>108</v>
      </c>
      <c r="H624" s="355" t="s">
        <v>1071</v>
      </c>
      <c r="I624" s="91" t="s">
        <v>1110</v>
      </c>
      <c r="J624" s="91" t="s">
        <v>291</v>
      </c>
      <c r="K624" s="355" t="s">
        <v>32</v>
      </c>
      <c r="L624" s="416" t="s">
        <v>402</v>
      </c>
      <c r="M624" s="264" t="s">
        <v>402</v>
      </c>
      <c r="N624" s="351" t="s">
        <v>402</v>
      </c>
      <c r="O624" s="88"/>
    </row>
    <row r="625" spans="1:15" s="123" customFormat="1">
      <c r="A625" s="351">
        <v>3990</v>
      </c>
      <c r="B625" s="353">
        <v>41613</v>
      </c>
      <c r="C625" s="264" t="s">
        <v>1141</v>
      </c>
      <c r="D625" s="278">
        <v>15000</v>
      </c>
      <c r="E625" s="413">
        <f t="shared" si="14"/>
        <v>2497.5856671883848</v>
      </c>
      <c r="F625" s="264" t="s">
        <v>135</v>
      </c>
      <c r="G625" s="92" t="s">
        <v>111</v>
      </c>
      <c r="H625" s="355" t="s">
        <v>118</v>
      </c>
      <c r="I625" s="91" t="s">
        <v>1110</v>
      </c>
      <c r="J625" s="91" t="s">
        <v>291</v>
      </c>
      <c r="K625" s="356" t="s">
        <v>25</v>
      </c>
      <c r="L625" s="416" t="s">
        <v>402</v>
      </c>
      <c r="M625" s="264" t="s">
        <v>402</v>
      </c>
      <c r="N625" s="351" t="s">
        <v>402</v>
      </c>
      <c r="O625" s="88"/>
    </row>
    <row r="626" spans="1:15" s="123" customFormat="1">
      <c r="A626" s="351">
        <v>3994</v>
      </c>
      <c r="B626" s="353">
        <v>41613</v>
      </c>
      <c r="C626" s="264" t="s">
        <v>234</v>
      </c>
      <c r="D626" s="278">
        <v>1148</v>
      </c>
      <c r="E626" s="413">
        <f t="shared" si="14"/>
        <v>191.14855639548438</v>
      </c>
      <c r="F626" s="264" t="s">
        <v>134</v>
      </c>
      <c r="G626" s="91" t="s">
        <v>132</v>
      </c>
      <c r="H626" s="355" t="s">
        <v>1071</v>
      </c>
      <c r="I626" s="91" t="s">
        <v>1110</v>
      </c>
      <c r="J626" s="264" t="s">
        <v>97</v>
      </c>
      <c r="K626" s="356" t="s">
        <v>29</v>
      </c>
      <c r="L626" s="416" t="s">
        <v>402</v>
      </c>
      <c r="M626" s="264" t="s">
        <v>402</v>
      </c>
      <c r="N626" s="351" t="s">
        <v>402</v>
      </c>
      <c r="O626" s="88"/>
    </row>
    <row r="627" spans="1:15" s="123" customFormat="1">
      <c r="A627" s="351">
        <v>3988</v>
      </c>
      <c r="B627" s="353">
        <v>41613</v>
      </c>
      <c r="C627" s="264" t="s">
        <v>136</v>
      </c>
      <c r="D627" s="278">
        <v>1418.43</v>
      </c>
      <c r="E627" s="413">
        <f t="shared" si="14"/>
        <v>236.17669586066805</v>
      </c>
      <c r="F627" s="264" t="s">
        <v>403</v>
      </c>
      <c r="G627" s="264" t="s">
        <v>106</v>
      </c>
      <c r="H627" s="355" t="s">
        <v>1071</v>
      </c>
      <c r="I627" s="91" t="s">
        <v>1110</v>
      </c>
      <c r="J627" s="91" t="s">
        <v>291</v>
      </c>
      <c r="K627" s="355" t="s">
        <v>34</v>
      </c>
      <c r="L627" s="416" t="s">
        <v>402</v>
      </c>
      <c r="M627" s="264" t="s">
        <v>402</v>
      </c>
      <c r="N627" s="351" t="s">
        <v>402</v>
      </c>
      <c r="O627" s="88"/>
    </row>
    <row r="628" spans="1:15" s="123" customFormat="1">
      <c r="A628" s="351">
        <v>4023</v>
      </c>
      <c r="B628" s="353">
        <v>41613</v>
      </c>
      <c r="C628" s="264" t="s">
        <v>231</v>
      </c>
      <c r="D628" s="278">
        <v>400</v>
      </c>
      <c r="E628" s="413">
        <f t="shared" si="14"/>
        <v>66.60228445835692</v>
      </c>
      <c r="F628" s="264" t="s">
        <v>232</v>
      </c>
      <c r="G628" s="268" t="s">
        <v>1083</v>
      </c>
      <c r="H628" s="355" t="s">
        <v>118</v>
      </c>
      <c r="I628" s="91" t="s">
        <v>1110</v>
      </c>
      <c r="J628" s="91" t="s">
        <v>291</v>
      </c>
      <c r="K628" s="355" t="s">
        <v>23</v>
      </c>
      <c r="L628" s="416" t="s">
        <v>402</v>
      </c>
      <c r="M628" s="264" t="s">
        <v>402</v>
      </c>
      <c r="N628" s="351" t="s">
        <v>402</v>
      </c>
      <c r="O628" s="88"/>
    </row>
    <row r="629" spans="1:15" s="123" customFormat="1">
      <c r="A629" s="351">
        <v>4035</v>
      </c>
      <c r="B629" s="353">
        <v>41614</v>
      </c>
      <c r="C629" s="264" t="s">
        <v>1174</v>
      </c>
      <c r="D629" s="278">
        <v>18000</v>
      </c>
      <c r="E629" s="413">
        <f t="shared" si="14"/>
        <v>2997.1028006260617</v>
      </c>
      <c r="F629" s="264" t="s">
        <v>184</v>
      </c>
      <c r="G629" s="92" t="s">
        <v>111</v>
      </c>
      <c r="H629" s="355" t="s">
        <v>118</v>
      </c>
      <c r="I629" s="91" t="s">
        <v>1110</v>
      </c>
      <c r="J629" s="264" t="s">
        <v>97</v>
      </c>
      <c r="K629" s="355" t="s">
        <v>26</v>
      </c>
      <c r="L629" s="416" t="s">
        <v>402</v>
      </c>
      <c r="M629" s="264" t="s">
        <v>402</v>
      </c>
      <c r="N629" s="351" t="s">
        <v>402</v>
      </c>
      <c r="O629" s="88"/>
    </row>
    <row r="630" spans="1:15" s="123" customFormat="1">
      <c r="A630" s="351">
        <v>4036</v>
      </c>
      <c r="B630" s="353">
        <v>41614</v>
      </c>
      <c r="C630" s="264" t="s">
        <v>1180</v>
      </c>
      <c r="D630" s="278">
        <v>430</v>
      </c>
      <c r="E630" s="413">
        <f t="shared" si="14"/>
        <v>71.597455792733697</v>
      </c>
      <c r="F630" s="264" t="s">
        <v>137</v>
      </c>
      <c r="G630" s="92" t="s">
        <v>111</v>
      </c>
      <c r="H630" s="355" t="s">
        <v>118</v>
      </c>
      <c r="I630" s="91" t="s">
        <v>1110</v>
      </c>
      <c r="J630" s="264" t="s">
        <v>97</v>
      </c>
      <c r="K630" s="355" t="s">
        <v>25</v>
      </c>
      <c r="L630" s="416" t="s">
        <v>402</v>
      </c>
      <c r="M630" s="264" t="s">
        <v>402</v>
      </c>
      <c r="N630" s="351" t="s">
        <v>402</v>
      </c>
      <c r="O630" s="88"/>
    </row>
    <row r="631" spans="1:15" s="123" customFormat="1">
      <c r="A631" s="351">
        <v>3963</v>
      </c>
      <c r="B631" s="353">
        <v>41614</v>
      </c>
      <c r="C631" s="264" t="s">
        <v>138</v>
      </c>
      <c r="D631" s="278">
        <v>1099.5</v>
      </c>
      <c r="E631" s="413">
        <f t="shared" si="14"/>
        <v>183.0730294049086</v>
      </c>
      <c r="F631" s="264" t="s">
        <v>184</v>
      </c>
      <c r="G631" s="91" t="s">
        <v>132</v>
      </c>
      <c r="H631" s="355" t="s">
        <v>1071</v>
      </c>
      <c r="I631" s="91" t="s">
        <v>1110</v>
      </c>
      <c r="J631" s="264" t="s">
        <v>97</v>
      </c>
      <c r="K631" s="356" t="s">
        <v>39</v>
      </c>
      <c r="L631" s="416" t="s">
        <v>402</v>
      </c>
      <c r="M631" s="264" t="s">
        <v>402</v>
      </c>
      <c r="N631" s="351" t="s">
        <v>402</v>
      </c>
      <c r="O631" s="218"/>
    </row>
    <row r="632" spans="1:15" s="123" customFormat="1">
      <c r="A632" s="351">
        <v>4037</v>
      </c>
      <c r="B632" s="353">
        <v>41618</v>
      </c>
      <c r="C632" s="264" t="s">
        <v>1148</v>
      </c>
      <c r="D632" s="278">
        <v>4500</v>
      </c>
      <c r="E632" s="413">
        <f t="shared" si="14"/>
        <v>749.27570015651543</v>
      </c>
      <c r="F632" s="264" t="s">
        <v>183</v>
      </c>
      <c r="G632" s="92" t="s">
        <v>111</v>
      </c>
      <c r="H632" s="355" t="s">
        <v>118</v>
      </c>
      <c r="I632" s="91" t="s">
        <v>1110</v>
      </c>
      <c r="J632" s="264" t="s">
        <v>97</v>
      </c>
      <c r="K632" s="355" t="s">
        <v>24</v>
      </c>
      <c r="L632" s="416" t="s">
        <v>402</v>
      </c>
      <c r="M632" s="264" t="s">
        <v>402</v>
      </c>
      <c r="N632" s="351" t="s">
        <v>402</v>
      </c>
      <c r="O632" s="88"/>
    </row>
    <row r="633" spans="1:15" s="123" customFormat="1">
      <c r="A633" s="351">
        <v>3993</v>
      </c>
      <c r="B633" s="353">
        <v>41618</v>
      </c>
      <c r="C633" s="264" t="s">
        <v>139</v>
      </c>
      <c r="D633" s="278">
        <v>45</v>
      </c>
      <c r="E633" s="413">
        <f t="shared" si="14"/>
        <v>7.4927570015651543</v>
      </c>
      <c r="F633" s="264" t="s">
        <v>510</v>
      </c>
      <c r="G633" s="91" t="s">
        <v>132</v>
      </c>
      <c r="H633" s="355" t="s">
        <v>1071</v>
      </c>
      <c r="I633" s="91" t="s">
        <v>1110</v>
      </c>
      <c r="J633" s="91" t="s">
        <v>291</v>
      </c>
      <c r="K633" s="356" t="s">
        <v>29</v>
      </c>
      <c r="L633" s="416" t="s">
        <v>402</v>
      </c>
      <c r="M633" s="264" t="s">
        <v>402</v>
      </c>
      <c r="N633" s="351" t="s">
        <v>402</v>
      </c>
      <c r="O633" s="88"/>
    </row>
    <row r="634" spans="1:15" s="123" customFormat="1">
      <c r="A634" s="351">
        <v>3992</v>
      </c>
      <c r="B634" s="353">
        <v>41618</v>
      </c>
      <c r="C634" s="264" t="s">
        <v>140</v>
      </c>
      <c r="D634" s="278">
        <v>80</v>
      </c>
      <c r="E634" s="413">
        <f t="shared" si="14"/>
        <v>13.320456891671384</v>
      </c>
      <c r="F634" s="264" t="s">
        <v>403</v>
      </c>
      <c r="G634" s="264" t="s">
        <v>106</v>
      </c>
      <c r="H634" s="355" t="s">
        <v>1071</v>
      </c>
      <c r="I634" s="91" t="s">
        <v>1110</v>
      </c>
      <c r="J634" s="91" t="s">
        <v>291</v>
      </c>
      <c r="K634" s="355" t="s">
        <v>34</v>
      </c>
      <c r="L634" s="416" t="s">
        <v>402</v>
      </c>
      <c r="M634" s="264" t="s">
        <v>402</v>
      </c>
      <c r="N634" s="351" t="s">
        <v>402</v>
      </c>
      <c r="O634" s="88"/>
    </row>
    <row r="635" spans="1:15" s="123" customFormat="1" ht="15">
      <c r="A635" s="351">
        <v>3997</v>
      </c>
      <c r="B635" s="353">
        <v>41626</v>
      </c>
      <c r="C635" s="264" t="s">
        <v>148</v>
      </c>
      <c r="D635" s="427"/>
      <c r="E635" s="413">
        <v>100.58</v>
      </c>
      <c r="F635" s="264" t="s">
        <v>149</v>
      </c>
      <c r="G635" s="268" t="s">
        <v>1083</v>
      </c>
      <c r="H635" s="355" t="s">
        <v>118</v>
      </c>
      <c r="I635" s="91" t="s">
        <v>1110</v>
      </c>
      <c r="J635" s="91" t="s">
        <v>291</v>
      </c>
      <c r="K635" s="356" t="s">
        <v>25</v>
      </c>
      <c r="L635" s="416" t="s">
        <v>402</v>
      </c>
      <c r="M635" s="264" t="s">
        <v>402</v>
      </c>
      <c r="N635" s="351" t="s">
        <v>402</v>
      </c>
      <c r="O635" s="88"/>
    </row>
    <row r="636" spans="1:15" s="123" customFormat="1">
      <c r="A636" s="351">
        <v>3998</v>
      </c>
      <c r="B636" s="353">
        <v>41627</v>
      </c>
      <c r="C636" s="264" t="s">
        <v>153</v>
      </c>
      <c r="D636" s="278">
        <v>5500</v>
      </c>
      <c r="E636" s="413">
        <f>D636/6.0058</f>
        <v>915.78141130240772</v>
      </c>
      <c r="F636" s="264" t="s">
        <v>509</v>
      </c>
      <c r="G636" s="91" t="s">
        <v>108</v>
      </c>
      <c r="H636" s="355" t="s">
        <v>1071</v>
      </c>
      <c r="I636" s="91" t="s">
        <v>1110</v>
      </c>
      <c r="J636" s="91" t="s">
        <v>291</v>
      </c>
      <c r="K636" s="355" t="s">
        <v>32</v>
      </c>
      <c r="L636" s="416" t="s">
        <v>402</v>
      </c>
      <c r="M636" s="264" t="s">
        <v>402</v>
      </c>
      <c r="N636" s="351" t="s">
        <v>402</v>
      </c>
      <c r="O636" s="88"/>
    </row>
    <row r="637" spans="1:15" s="123" customFormat="1">
      <c r="A637" s="351">
        <v>3999</v>
      </c>
      <c r="B637" s="353">
        <v>41627</v>
      </c>
      <c r="C637" s="264" t="s">
        <v>152</v>
      </c>
      <c r="D637" s="278">
        <v>3000</v>
      </c>
      <c r="E637" s="413">
        <f>D637/6.0058</f>
        <v>499.51713343767693</v>
      </c>
      <c r="F637" s="264" t="s">
        <v>510</v>
      </c>
      <c r="G637" s="91" t="s">
        <v>108</v>
      </c>
      <c r="H637" s="355" t="s">
        <v>118</v>
      </c>
      <c r="I637" s="91" t="s">
        <v>1110</v>
      </c>
      <c r="J637" s="91" t="s">
        <v>291</v>
      </c>
      <c r="K637" s="355" t="s">
        <v>24</v>
      </c>
      <c r="L637" s="416" t="s">
        <v>402</v>
      </c>
      <c r="M637" s="264" t="s">
        <v>402</v>
      </c>
      <c r="N637" s="351" t="s">
        <v>402</v>
      </c>
      <c r="O637" s="88"/>
    </row>
    <row r="638" spans="1:15" s="123" customFormat="1" ht="15">
      <c r="A638" s="351">
        <v>4000</v>
      </c>
      <c r="B638" s="353">
        <v>41631</v>
      </c>
      <c r="C638" s="264" t="s">
        <v>160</v>
      </c>
      <c r="D638" s="427"/>
      <c r="E638" s="413">
        <v>2500</v>
      </c>
      <c r="F638" s="264" t="s">
        <v>515</v>
      </c>
      <c r="G638" s="92" t="s">
        <v>109</v>
      </c>
      <c r="H638" s="355" t="s">
        <v>1072</v>
      </c>
      <c r="I638" s="91" t="s">
        <v>1110</v>
      </c>
      <c r="J638" s="264" t="s">
        <v>97</v>
      </c>
      <c r="K638" s="355"/>
      <c r="L638" s="416" t="s">
        <v>402</v>
      </c>
      <c r="M638" s="264" t="s">
        <v>402</v>
      </c>
      <c r="N638" s="351" t="s">
        <v>402</v>
      </c>
      <c r="O638" s="88"/>
    </row>
    <row r="639" spans="1:15" s="123" customFormat="1" ht="15">
      <c r="A639" s="351">
        <v>4003</v>
      </c>
      <c r="B639" s="353">
        <v>41631</v>
      </c>
      <c r="C639" s="264" t="s">
        <v>154</v>
      </c>
      <c r="D639" s="427"/>
      <c r="E639" s="413">
        <v>2500</v>
      </c>
      <c r="F639" s="264" t="s">
        <v>155</v>
      </c>
      <c r="G639" s="92" t="s">
        <v>109</v>
      </c>
      <c r="H639" s="355" t="s">
        <v>1072</v>
      </c>
      <c r="I639" s="91" t="s">
        <v>1110</v>
      </c>
      <c r="J639" s="264" t="s">
        <v>97</v>
      </c>
      <c r="K639" s="355"/>
      <c r="L639" s="416" t="s">
        <v>402</v>
      </c>
      <c r="M639" s="264" t="s">
        <v>402</v>
      </c>
      <c r="N639" s="351" t="s">
        <v>402</v>
      </c>
      <c r="O639" s="88"/>
    </row>
    <row r="640" spans="1:15" s="123" customFormat="1" ht="15">
      <c r="A640" s="351">
        <v>4001</v>
      </c>
      <c r="B640" s="353">
        <v>41631</v>
      </c>
      <c r="C640" s="264" t="s">
        <v>158</v>
      </c>
      <c r="D640" s="427"/>
      <c r="E640" s="413">
        <v>2500</v>
      </c>
      <c r="F640" s="264" t="s">
        <v>159</v>
      </c>
      <c r="G640" s="92" t="s">
        <v>109</v>
      </c>
      <c r="H640" s="355" t="s">
        <v>1072</v>
      </c>
      <c r="I640" s="91" t="s">
        <v>1110</v>
      </c>
      <c r="J640" s="264" t="s">
        <v>97</v>
      </c>
      <c r="K640" s="355"/>
      <c r="L640" s="416" t="s">
        <v>402</v>
      </c>
      <c r="M640" s="264" t="s">
        <v>402</v>
      </c>
      <c r="N640" s="351" t="s">
        <v>402</v>
      </c>
      <c r="O640" s="88"/>
    </row>
    <row r="641" spans="1:15" s="123" customFormat="1" ht="15">
      <c r="A641" s="351">
        <v>4002</v>
      </c>
      <c r="B641" s="353">
        <v>41631</v>
      </c>
      <c r="C641" s="264" t="s">
        <v>156</v>
      </c>
      <c r="D641" s="427"/>
      <c r="E641" s="413">
        <v>2500</v>
      </c>
      <c r="F641" s="264" t="s">
        <v>157</v>
      </c>
      <c r="G641" s="92" t="s">
        <v>109</v>
      </c>
      <c r="H641" s="355" t="s">
        <v>1072</v>
      </c>
      <c r="I641" s="91" t="s">
        <v>1110</v>
      </c>
      <c r="J641" s="264" t="s">
        <v>97</v>
      </c>
      <c r="K641" s="355"/>
      <c r="L641" s="416" t="s">
        <v>402</v>
      </c>
      <c r="M641" s="264" t="s">
        <v>402</v>
      </c>
      <c r="N641" s="351" t="s">
        <v>402</v>
      </c>
      <c r="O641" s="88"/>
    </row>
    <row r="642" spans="1:15" s="123" customFormat="1">
      <c r="A642" s="351">
        <v>4038</v>
      </c>
      <c r="B642" s="353">
        <v>41631</v>
      </c>
      <c r="C642" s="264" t="s">
        <v>1158</v>
      </c>
      <c r="D642" s="278">
        <v>4500</v>
      </c>
      <c r="E642" s="413">
        <f>D642/6.0058</f>
        <v>749.27570015651543</v>
      </c>
      <c r="F642" s="264" t="s">
        <v>182</v>
      </c>
      <c r="G642" s="92" t="s">
        <v>111</v>
      </c>
      <c r="H642" s="355" t="s">
        <v>118</v>
      </c>
      <c r="I642" s="91" t="s">
        <v>1110</v>
      </c>
      <c r="J642" s="264" t="s">
        <v>97</v>
      </c>
      <c r="K642" s="355" t="s">
        <v>24</v>
      </c>
      <c r="L642" s="416" t="s">
        <v>402</v>
      </c>
      <c r="M642" s="264" t="s">
        <v>402</v>
      </c>
      <c r="N642" s="351" t="s">
        <v>402</v>
      </c>
      <c r="O642" s="88"/>
    </row>
    <row r="643" spans="1:15" s="123" customFormat="1">
      <c r="A643" s="351">
        <v>4034</v>
      </c>
      <c r="B643" s="353">
        <v>41632</v>
      </c>
      <c r="C643" s="264" t="s">
        <v>161</v>
      </c>
      <c r="D643" s="278">
        <v>50</v>
      </c>
      <c r="E643" s="413">
        <f>D643/6.0058</f>
        <v>8.3252855572946149</v>
      </c>
      <c r="F643" s="264" t="s">
        <v>179</v>
      </c>
      <c r="G643" s="91" t="s">
        <v>132</v>
      </c>
      <c r="H643" s="355" t="s">
        <v>118</v>
      </c>
      <c r="I643" s="91" t="s">
        <v>1110</v>
      </c>
      <c r="J643" s="91" t="s">
        <v>291</v>
      </c>
      <c r="K643" s="355" t="s">
        <v>23</v>
      </c>
      <c r="L643" s="416" t="s">
        <v>402</v>
      </c>
      <c r="M643" s="264" t="s">
        <v>402</v>
      </c>
      <c r="N643" s="351" t="s">
        <v>402</v>
      </c>
      <c r="O643" s="88"/>
    </row>
    <row r="644" spans="1:15" s="123" customFormat="1">
      <c r="A644" s="351">
        <v>4005</v>
      </c>
      <c r="B644" s="353">
        <v>41633</v>
      </c>
      <c r="C644" s="264" t="s">
        <v>162</v>
      </c>
      <c r="D644" s="278">
        <v>1000</v>
      </c>
      <c r="E644" s="413">
        <f>D644/6.0058</f>
        <v>166.50571114589232</v>
      </c>
      <c r="F644" s="264" t="s">
        <v>331</v>
      </c>
      <c r="G644" s="264" t="s">
        <v>113</v>
      </c>
      <c r="H644" s="355" t="s">
        <v>1071</v>
      </c>
      <c r="I644" s="91" t="s">
        <v>1110</v>
      </c>
      <c r="J644" s="264" t="s">
        <v>97</v>
      </c>
      <c r="K644" s="356" t="s">
        <v>32</v>
      </c>
      <c r="L644" s="416" t="s">
        <v>402</v>
      </c>
      <c r="M644" s="264" t="s">
        <v>402</v>
      </c>
      <c r="N644" s="351" t="s">
        <v>402</v>
      </c>
      <c r="O644" s="88"/>
    </row>
    <row r="645" spans="1:15" s="123" customFormat="1" ht="15">
      <c r="A645" s="351">
        <v>4013</v>
      </c>
      <c r="B645" s="353">
        <v>41634</v>
      </c>
      <c r="C645" s="264" t="s">
        <v>164</v>
      </c>
      <c r="D645" s="427"/>
      <c r="E645" s="413">
        <v>3750</v>
      </c>
      <c r="F645" s="264" t="s">
        <v>165</v>
      </c>
      <c r="G645" s="92" t="s">
        <v>109</v>
      </c>
      <c r="H645" s="355" t="s">
        <v>1072</v>
      </c>
      <c r="I645" s="91" t="s">
        <v>1110</v>
      </c>
      <c r="J645" s="264" t="s">
        <v>97</v>
      </c>
      <c r="K645" s="355"/>
      <c r="L645" s="416" t="s">
        <v>402</v>
      </c>
      <c r="M645" s="264" t="s">
        <v>402</v>
      </c>
      <c r="N645" s="351" t="s">
        <v>402</v>
      </c>
      <c r="O645" s="88"/>
    </row>
    <row r="646" spans="1:15" s="123" customFormat="1">
      <c r="A646" s="351">
        <v>4006</v>
      </c>
      <c r="B646" s="353">
        <v>41638</v>
      </c>
      <c r="C646" s="264" t="s">
        <v>1129</v>
      </c>
      <c r="D646" s="278">
        <v>12000</v>
      </c>
      <c r="E646" s="413">
        <f>D646/6.0058</f>
        <v>1998.0685337507077</v>
      </c>
      <c r="F646" s="264" t="s">
        <v>404</v>
      </c>
      <c r="G646" s="91" t="s">
        <v>108</v>
      </c>
      <c r="H646" s="355" t="s">
        <v>1071</v>
      </c>
      <c r="I646" s="91" t="s">
        <v>1110</v>
      </c>
      <c r="J646" s="91" t="s">
        <v>291</v>
      </c>
      <c r="K646" s="355" t="s">
        <v>37</v>
      </c>
      <c r="L646" s="416" t="s">
        <v>402</v>
      </c>
      <c r="M646" s="264" t="s">
        <v>402</v>
      </c>
      <c r="N646" s="351" t="s">
        <v>402</v>
      </c>
      <c r="O646" s="88"/>
    </row>
    <row r="647" spans="1:15" s="123" customFormat="1">
      <c r="A647" s="351">
        <v>4007</v>
      </c>
      <c r="B647" s="353">
        <v>41638</v>
      </c>
      <c r="C647" s="264" t="s">
        <v>733</v>
      </c>
      <c r="D647" s="278">
        <v>29</v>
      </c>
      <c r="E647" s="413">
        <f>D647/6.0058</f>
        <v>4.8286656232308767</v>
      </c>
      <c r="F647" s="264" t="s">
        <v>609</v>
      </c>
      <c r="G647" s="91" t="s">
        <v>114</v>
      </c>
      <c r="H647" s="355" t="s">
        <v>1071</v>
      </c>
      <c r="I647" s="91" t="s">
        <v>1110</v>
      </c>
      <c r="J647" s="91" t="s">
        <v>291</v>
      </c>
      <c r="K647" s="356" t="s">
        <v>29</v>
      </c>
      <c r="L647" s="416" t="s">
        <v>402</v>
      </c>
      <c r="M647" s="264" t="s">
        <v>402</v>
      </c>
      <c r="N647" s="351" t="s">
        <v>402</v>
      </c>
      <c r="O647" s="88"/>
    </row>
    <row r="648" spans="1:15" s="123" customFormat="1">
      <c r="A648" s="351">
        <v>4011</v>
      </c>
      <c r="B648" s="353">
        <v>41639</v>
      </c>
      <c r="C648" s="264" t="s">
        <v>171</v>
      </c>
      <c r="D648" s="278">
        <v>5500</v>
      </c>
      <c r="E648" s="413">
        <f>D648/6.0058</f>
        <v>915.78141130240772</v>
      </c>
      <c r="F648" s="264" t="s">
        <v>509</v>
      </c>
      <c r="G648" s="91" t="s">
        <v>108</v>
      </c>
      <c r="H648" s="355" t="s">
        <v>1071</v>
      </c>
      <c r="I648" s="91" t="s">
        <v>1110</v>
      </c>
      <c r="J648" s="91" t="s">
        <v>291</v>
      </c>
      <c r="K648" s="355" t="s">
        <v>32</v>
      </c>
      <c r="L648" s="416" t="s">
        <v>402</v>
      </c>
      <c r="M648" s="264" t="s">
        <v>402</v>
      </c>
      <c r="N648" s="351" t="s">
        <v>402</v>
      </c>
      <c r="O648" s="88"/>
    </row>
    <row r="649" spans="1:15" s="123" customFormat="1">
      <c r="A649" s="351">
        <v>4031</v>
      </c>
      <c r="B649" s="353">
        <v>41639</v>
      </c>
      <c r="C649" s="264" t="s">
        <v>1118</v>
      </c>
      <c r="D649" s="278">
        <v>13000</v>
      </c>
      <c r="E649" s="413">
        <f>D649/6.0058</f>
        <v>2164.5742448966002</v>
      </c>
      <c r="F649" s="264" t="s">
        <v>304</v>
      </c>
      <c r="G649" s="91" t="s">
        <v>108</v>
      </c>
      <c r="H649" s="355" t="s">
        <v>118</v>
      </c>
      <c r="I649" s="91" t="s">
        <v>1110</v>
      </c>
      <c r="J649" s="91" t="s">
        <v>291</v>
      </c>
      <c r="K649" s="355" t="s">
        <v>25</v>
      </c>
      <c r="L649" s="416" t="s">
        <v>402</v>
      </c>
      <c r="M649" s="264" t="s">
        <v>402</v>
      </c>
      <c r="N649" s="351" t="s">
        <v>402</v>
      </c>
      <c r="O649" s="88"/>
    </row>
    <row r="650" spans="1:15" s="123" customFormat="1" ht="15">
      <c r="A650" s="351">
        <v>4032</v>
      </c>
      <c r="B650" s="353">
        <v>41639</v>
      </c>
      <c r="C650" s="264" t="s">
        <v>1139</v>
      </c>
      <c r="D650" s="427"/>
      <c r="E650" s="413">
        <v>2625</v>
      </c>
      <c r="F650" s="264" t="s">
        <v>168</v>
      </c>
      <c r="G650" s="91" t="s">
        <v>108</v>
      </c>
      <c r="H650" s="355" t="s">
        <v>1071</v>
      </c>
      <c r="I650" s="91" t="s">
        <v>1110</v>
      </c>
      <c r="J650" s="91" t="s">
        <v>291</v>
      </c>
      <c r="K650" s="355" t="s">
        <v>30</v>
      </c>
      <c r="L650" s="416" t="s">
        <v>402</v>
      </c>
      <c r="M650" s="264" t="s">
        <v>402</v>
      </c>
      <c r="N650" s="351" t="s">
        <v>402</v>
      </c>
      <c r="O650" s="88"/>
    </row>
    <row r="651" spans="1:15" s="123" customFormat="1">
      <c r="A651" s="351">
        <v>4012</v>
      </c>
      <c r="B651" s="353">
        <v>41639</v>
      </c>
      <c r="C651" s="264" t="s">
        <v>170</v>
      </c>
      <c r="D651" s="278">
        <v>3000</v>
      </c>
      <c r="E651" s="413">
        <f>D651/6.0058</f>
        <v>499.51713343767693</v>
      </c>
      <c r="F651" s="264" t="s">
        <v>510</v>
      </c>
      <c r="G651" s="91" t="s">
        <v>108</v>
      </c>
      <c r="H651" s="355" t="s">
        <v>118</v>
      </c>
      <c r="I651" s="91" t="s">
        <v>1110</v>
      </c>
      <c r="J651" s="264" t="s">
        <v>188</v>
      </c>
      <c r="K651" s="355" t="s">
        <v>24</v>
      </c>
      <c r="L651" s="416" t="s">
        <v>402</v>
      </c>
      <c r="M651" s="264" t="s">
        <v>402</v>
      </c>
      <c r="N651" s="351" t="s">
        <v>402</v>
      </c>
      <c r="O651" s="88"/>
    </row>
    <row r="652" spans="1:15" s="123" customFormat="1" ht="15">
      <c r="A652" s="351">
        <v>4043</v>
      </c>
      <c r="B652" s="353">
        <v>41639</v>
      </c>
      <c r="C652" s="272" t="s">
        <v>54</v>
      </c>
      <c r="D652" s="427"/>
      <c r="E652" s="413">
        <v>10000</v>
      </c>
      <c r="F652" s="264" t="s">
        <v>166</v>
      </c>
      <c r="G652" s="92" t="s">
        <v>109</v>
      </c>
      <c r="H652" s="355" t="s">
        <v>1072</v>
      </c>
      <c r="I652" s="91" t="s">
        <v>1110</v>
      </c>
      <c r="J652" s="264" t="s">
        <v>95</v>
      </c>
      <c r="K652" s="355"/>
      <c r="L652" s="416" t="s">
        <v>402</v>
      </c>
      <c r="M652" s="264" t="s">
        <v>402</v>
      </c>
      <c r="N652" s="351" t="s">
        <v>402</v>
      </c>
      <c r="O652" s="88"/>
    </row>
    <row r="653" spans="1:15" s="123" customFormat="1" ht="15">
      <c r="A653" s="351">
        <v>4040</v>
      </c>
      <c r="B653" s="353">
        <v>41639</v>
      </c>
      <c r="C653" s="264" t="s">
        <v>167</v>
      </c>
      <c r="D653" s="427"/>
      <c r="E653" s="413">
        <v>150</v>
      </c>
      <c r="F653" s="264" t="s">
        <v>363</v>
      </c>
      <c r="G653" s="91" t="s">
        <v>114</v>
      </c>
      <c r="H653" s="355" t="s">
        <v>1071</v>
      </c>
      <c r="I653" s="91" t="s">
        <v>1110</v>
      </c>
      <c r="J653" s="264" t="s">
        <v>95</v>
      </c>
      <c r="K653" s="356" t="s">
        <v>29</v>
      </c>
      <c r="L653" s="416" t="s">
        <v>402</v>
      </c>
      <c r="M653" s="264" t="s">
        <v>402</v>
      </c>
      <c r="N653" s="351" t="s">
        <v>402</v>
      </c>
      <c r="O653" s="88"/>
    </row>
    <row r="654" spans="1:15" s="123" customFormat="1">
      <c r="A654" s="351">
        <v>4033</v>
      </c>
      <c r="B654" s="353">
        <v>41639</v>
      </c>
      <c r="C654" s="264" t="s">
        <v>1140</v>
      </c>
      <c r="D654" s="278">
        <v>16500</v>
      </c>
      <c r="E654" s="413">
        <f t="shared" ref="E654:E659" si="15">D654/6.0058</f>
        <v>2747.344233907223</v>
      </c>
      <c r="F654" s="264" t="s">
        <v>135</v>
      </c>
      <c r="G654" s="92" t="s">
        <v>111</v>
      </c>
      <c r="H654" s="355" t="s">
        <v>118</v>
      </c>
      <c r="I654" s="91" t="s">
        <v>1110</v>
      </c>
      <c r="J654" s="91" t="s">
        <v>291</v>
      </c>
      <c r="K654" s="356" t="s">
        <v>25</v>
      </c>
      <c r="L654" s="416" t="s">
        <v>402</v>
      </c>
      <c r="M654" s="264" t="s">
        <v>402</v>
      </c>
      <c r="N654" s="351" t="s">
        <v>402</v>
      </c>
      <c r="O654" s="88"/>
    </row>
    <row r="655" spans="1:15" s="123" customFormat="1">
      <c r="A655" s="351">
        <v>4029</v>
      </c>
      <c r="B655" s="353">
        <v>41639</v>
      </c>
      <c r="C655" s="264" t="s">
        <v>1144</v>
      </c>
      <c r="D655" s="278">
        <v>4500</v>
      </c>
      <c r="E655" s="413">
        <f t="shared" si="15"/>
        <v>749.27570015651543</v>
      </c>
      <c r="F655" s="264" t="s">
        <v>183</v>
      </c>
      <c r="G655" s="92" t="s">
        <v>111</v>
      </c>
      <c r="H655" s="355" t="s">
        <v>118</v>
      </c>
      <c r="I655" s="91" t="s">
        <v>1110</v>
      </c>
      <c r="J655" s="264" t="s">
        <v>97</v>
      </c>
      <c r="K655" s="355" t="s">
        <v>24</v>
      </c>
      <c r="L655" s="416" t="s">
        <v>402</v>
      </c>
      <c r="M655" s="264" t="s">
        <v>402</v>
      </c>
      <c r="N655" s="351" t="s">
        <v>402</v>
      </c>
      <c r="O655" s="88"/>
    </row>
    <row r="656" spans="1:15" s="123" customFormat="1">
      <c r="A656" s="351">
        <v>4028</v>
      </c>
      <c r="B656" s="353">
        <v>41639</v>
      </c>
      <c r="C656" s="264" t="s">
        <v>1154</v>
      </c>
      <c r="D656" s="278">
        <v>4500</v>
      </c>
      <c r="E656" s="413">
        <f t="shared" si="15"/>
        <v>749.27570015651543</v>
      </c>
      <c r="F656" s="264" t="s">
        <v>182</v>
      </c>
      <c r="G656" s="92" t="s">
        <v>111</v>
      </c>
      <c r="H656" s="355" t="s">
        <v>118</v>
      </c>
      <c r="I656" s="91" t="s">
        <v>1110</v>
      </c>
      <c r="J656" s="264" t="s">
        <v>97</v>
      </c>
      <c r="K656" s="355" t="s">
        <v>24</v>
      </c>
      <c r="L656" s="416" t="s">
        <v>402</v>
      </c>
      <c r="M656" s="264" t="s">
        <v>402</v>
      </c>
      <c r="N656" s="351" t="s">
        <v>402</v>
      </c>
      <c r="O656" s="88"/>
    </row>
    <row r="657" spans="1:15" s="123" customFormat="1">
      <c r="A657" s="351">
        <v>4026</v>
      </c>
      <c r="B657" s="353">
        <v>41639</v>
      </c>
      <c r="C657" s="264" t="s">
        <v>1167</v>
      </c>
      <c r="D657" s="278">
        <v>18000</v>
      </c>
      <c r="E657" s="413">
        <f t="shared" si="15"/>
        <v>2997.1028006260617</v>
      </c>
      <c r="F657" s="264" t="s">
        <v>184</v>
      </c>
      <c r="G657" s="92" t="s">
        <v>111</v>
      </c>
      <c r="H657" s="355" t="s">
        <v>118</v>
      </c>
      <c r="I657" s="91" t="s">
        <v>1110</v>
      </c>
      <c r="J657" s="264" t="s">
        <v>97</v>
      </c>
      <c r="K657" s="355" t="s">
        <v>26</v>
      </c>
      <c r="L657" s="416" t="s">
        <v>402</v>
      </c>
      <c r="M657" s="264" t="s">
        <v>402</v>
      </c>
      <c r="N657" s="351" t="s">
        <v>402</v>
      </c>
      <c r="O657" s="88"/>
    </row>
    <row r="658" spans="1:15" s="123" customFormat="1">
      <c r="A658" s="351">
        <v>4027</v>
      </c>
      <c r="B658" s="353">
        <v>41639</v>
      </c>
      <c r="C658" s="272" t="s">
        <v>1184</v>
      </c>
      <c r="D658" s="278">
        <v>800</v>
      </c>
      <c r="E658" s="413">
        <f t="shared" si="15"/>
        <v>133.20456891671384</v>
      </c>
      <c r="F658" s="264" t="s">
        <v>137</v>
      </c>
      <c r="G658" s="92" t="s">
        <v>111</v>
      </c>
      <c r="H658" s="355" t="s">
        <v>118</v>
      </c>
      <c r="I658" s="91" t="s">
        <v>1110</v>
      </c>
      <c r="J658" s="264" t="s">
        <v>97</v>
      </c>
      <c r="K658" s="355" t="s">
        <v>25</v>
      </c>
      <c r="L658" s="416" t="s">
        <v>402</v>
      </c>
      <c r="M658" s="264" t="s">
        <v>402</v>
      </c>
      <c r="N658" s="351" t="s">
        <v>402</v>
      </c>
      <c r="O658" s="88"/>
    </row>
    <row r="659" spans="1:15" s="123" customFormat="1">
      <c r="A659" s="351">
        <v>4024</v>
      </c>
      <c r="B659" s="353">
        <v>41639</v>
      </c>
      <c r="C659" s="264" t="s">
        <v>169</v>
      </c>
      <c r="D659" s="278">
        <v>120</v>
      </c>
      <c r="E659" s="413">
        <f t="shared" si="15"/>
        <v>19.980685337507076</v>
      </c>
      <c r="F659" s="264" t="s">
        <v>510</v>
      </c>
      <c r="G659" s="91" t="s">
        <v>132</v>
      </c>
      <c r="H659" s="355" t="s">
        <v>1071</v>
      </c>
      <c r="I659" s="91" t="s">
        <v>1110</v>
      </c>
      <c r="J659" s="91" t="s">
        <v>291</v>
      </c>
      <c r="K659" s="356" t="s">
        <v>29</v>
      </c>
      <c r="L659" s="416" t="s">
        <v>402</v>
      </c>
      <c r="M659" s="264" t="s">
        <v>402</v>
      </c>
      <c r="N659" s="351" t="s">
        <v>402</v>
      </c>
      <c r="O659" s="88"/>
    </row>
    <row r="660" spans="1:15" s="123" customFormat="1" ht="15">
      <c r="A660" s="351">
        <v>4042</v>
      </c>
      <c r="B660" s="353">
        <v>41639</v>
      </c>
      <c r="C660" s="264" t="s">
        <v>450</v>
      </c>
      <c r="D660" s="427"/>
      <c r="E660" s="413">
        <v>25</v>
      </c>
      <c r="F660" s="264" t="s">
        <v>363</v>
      </c>
      <c r="G660" s="268" t="s">
        <v>1083</v>
      </c>
      <c r="H660" s="355" t="s">
        <v>1071</v>
      </c>
      <c r="I660" s="91" t="s">
        <v>1110</v>
      </c>
      <c r="J660" s="264" t="s">
        <v>95</v>
      </c>
      <c r="K660" s="356" t="s">
        <v>29</v>
      </c>
      <c r="L660" s="416" t="s">
        <v>402</v>
      </c>
      <c r="M660" s="264" t="s">
        <v>402</v>
      </c>
      <c r="N660" s="351" t="s">
        <v>402</v>
      </c>
      <c r="O660" s="88"/>
    </row>
    <row r="661" spans="1:15" s="123" customFormat="1">
      <c r="A661" s="220">
        <v>3746</v>
      </c>
      <c r="B661" s="104">
        <v>41471</v>
      </c>
      <c r="C661" s="91" t="s">
        <v>405</v>
      </c>
      <c r="D661" s="105">
        <v>55</v>
      </c>
      <c r="E661" s="413">
        <f>D661/6.0506</f>
        <v>9.0900076025518128</v>
      </c>
      <c r="F661" s="91" t="s">
        <v>403</v>
      </c>
      <c r="G661" s="91" t="s">
        <v>106</v>
      </c>
      <c r="H661" s="355" t="s">
        <v>120</v>
      </c>
      <c r="I661" s="91" t="s">
        <v>1110</v>
      </c>
      <c r="J661" s="91" t="s">
        <v>291</v>
      </c>
      <c r="K661" s="355"/>
      <c r="L661" s="416"/>
      <c r="M661" s="88"/>
      <c r="N661" s="88"/>
      <c r="O661" s="88"/>
    </row>
    <row r="663" spans="1:15">
      <c r="E663" s="413">
        <f>SUM(E2:E661)</f>
        <v>340566.15307637519</v>
      </c>
    </row>
    <row r="666" spans="1:15">
      <c r="C666" s="430" t="s">
        <v>102</v>
      </c>
      <c r="D666" s="413"/>
    </row>
    <row r="667" spans="1:15">
      <c r="C667" s="280" t="s">
        <v>1086</v>
      </c>
      <c r="D667" s="428">
        <f>SUMIFS(E$2:E$662,J$2:J$662,C$666,B$2:B$662,"&lt;2/1/2013")</f>
        <v>4547.3399999999992</v>
      </c>
    </row>
    <row r="668" spans="1:15">
      <c r="C668" s="280" t="s">
        <v>1087</v>
      </c>
      <c r="D668" s="428">
        <f>SUMIFS(E$2:E$662,J$2:J$662,C$666,B$2:B$662,"&lt;3/1/2013")-D667</f>
        <v>200</v>
      </c>
    </row>
    <row r="669" spans="1:15">
      <c r="C669" s="280" t="s">
        <v>1088</v>
      </c>
      <c r="D669" s="428">
        <f>SUMIFS(E$2:E$662,J$2:J$662,C$666,B$2:B$662,"&lt;4/1/2013")-SUM(D667:D668)</f>
        <v>200</v>
      </c>
    </row>
    <row r="670" spans="1:15">
      <c r="C670" s="280" t="s">
        <v>1089</v>
      </c>
      <c r="D670" s="428">
        <f>SUMIFS(E$2:E$662,J$2:J$662,C$666,B$2:B$662,"&lt;5/1/2013")-SUM(D667:D669)</f>
        <v>2980.1899999999996</v>
      </c>
    </row>
    <row r="671" spans="1:15">
      <c r="C671" s="280" t="s">
        <v>1005</v>
      </c>
      <c r="D671" s="428">
        <f>SUMIFS(E$2:E$662,J$2:J$662,C$666,B$2:B$662,"&lt;6/1/2013")-SUM(D$667:D670)</f>
        <v>2134.5200000000004</v>
      </c>
    </row>
    <row r="672" spans="1:15">
      <c r="C672" s="280" t="s">
        <v>1090</v>
      </c>
      <c r="D672" s="428">
        <f>SUMIFS(E$2:E$662,J$2:J$662,C$666,B$2:B$662,"&lt;7/1/2013")-SUM(D$667:D671)</f>
        <v>2046.760000000002</v>
      </c>
    </row>
    <row r="673" spans="3:4">
      <c r="C673" s="280" t="s">
        <v>1091</v>
      </c>
      <c r="D673" s="428">
        <f>SUMIFS(E$2:E$662,J$2:J$662,C$666,B$2:B$662,"&lt;8/1/2013")-SUM(D$667:D672)</f>
        <v>7075.59</v>
      </c>
    </row>
    <row r="674" spans="3:4">
      <c r="C674" s="280" t="s">
        <v>1092</v>
      </c>
      <c r="D674" s="428">
        <f>SUMIFS(E$2:E$662,J$2:J$662,C$666,B$2:B$662,"&lt;9/1/2013")-SUM(D$667:D673)</f>
        <v>95</v>
      </c>
    </row>
    <row r="675" spans="3:4">
      <c r="C675" s="280" t="s">
        <v>1093</v>
      </c>
      <c r="D675" s="428">
        <f>SUMIFS(E$2:E$662,J$2:J$662,C$666,B$2:B$662,"&lt;10/1/2013")-SUM(D$667:D674)</f>
        <v>4973.3899999999994</v>
      </c>
    </row>
    <row r="676" spans="3:4">
      <c r="C676" s="280" t="s">
        <v>1094</v>
      </c>
      <c r="D676" s="428">
        <f>SUMIFS(E$2:E$662,J$2:J$662,C$666,B$2:B$662,"&lt;11/1/2013")-SUM(D$667:D675)</f>
        <v>221.86999999999898</v>
      </c>
    </row>
    <row r="677" spans="3:4">
      <c r="C677" s="280" t="s">
        <v>1095</v>
      </c>
      <c r="D677" s="428">
        <f>SUMIFS(E$2:E$662,J$2:J$662,C$666,B$2:B$662,"&lt;12/1/2013")-SUM(D$667:D676)</f>
        <v>2633.6400000000031</v>
      </c>
    </row>
    <row r="678" spans="3:4">
      <c r="C678" s="280" t="s">
        <v>1096</v>
      </c>
      <c r="D678" s="428">
        <f>SUMIFS(E$2:E$662,J$2:J$662,C$666,B$2:B$662,"&lt;1/1/2014")-SUM(D$667:D677)</f>
        <v>320</v>
      </c>
    </row>
    <row r="679" spans="3:4">
      <c r="D679" s="429">
        <f>SUM(D667:D678)</f>
        <v>27428.300000000003</v>
      </c>
    </row>
  </sheetData>
  <sortState ref="A2:O661">
    <sortCondition ref="I2:I661"/>
  </sortState>
  <dataValidations count="1">
    <dataValidation type="list" allowBlank="1" showInputMessage="1" showErrorMessage="1" sqref="K3:K637">
      <formula1>$K$642:$K$658</formula1>
    </dataValidation>
  </dataValidations>
  <pageMargins left="0.7" right="0.7" top="0.75" bottom="0.75" header="0.3" footer="0.3"/>
  <pageSetup paperSize="9" orientation="portrait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'6 - P&amp;L Program Detail'!$A$15:$A$46</xm:f>
          </x14:formula1>
          <xm:sqref>G2:G661</xm:sqref>
        </x14:dataValidation>
        <x14:dataValidation type="list" allowBlank="1" showInputMessage="1" showErrorMessage="1">
          <x14:formula1>
            <xm:f>Conventions!$A$46:$A$57</xm:f>
          </x14:formula1>
          <xm:sqref>H2:H661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IJ44"/>
  <sheetViews>
    <sheetView workbookViewId="0">
      <selection activeCell="F9" sqref="F9"/>
    </sheetView>
  </sheetViews>
  <sheetFormatPr baseColWidth="10" defaultColWidth="11" defaultRowHeight="12.75" customHeight="1" x14ac:dyDescent="0"/>
  <cols>
    <col min="1" max="1" width="89.5" style="31" customWidth="1"/>
    <col min="2" max="2" width="14.83203125" style="448" bestFit="1" customWidth="1"/>
    <col min="3" max="3" width="17.1640625" style="448" bestFit="1" customWidth="1"/>
    <col min="4" max="4" width="12.6640625" style="452" bestFit="1" customWidth="1"/>
    <col min="5" max="5" width="16.33203125" style="128" bestFit="1" customWidth="1"/>
    <col min="6" max="6" width="11" style="484" customWidth="1"/>
    <col min="7" max="244" width="11" style="31" customWidth="1"/>
    <col min="245" max="245" width="11" style="32" bestFit="1"/>
    <col min="246" max="16384" width="11" style="32"/>
  </cols>
  <sheetData>
    <row r="1" spans="1:6" s="29" customFormat="1" ht="16">
      <c r="A1" s="28" t="s">
        <v>1195</v>
      </c>
      <c r="B1" s="446" t="s">
        <v>1109</v>
      </c>
      <c r="C1" s="447" t="s">
        <v>1110</v>
      </c>
      <c r="D1" s="446" t="s">
        <v>333</v>
      </c>
      <c r="E1" s="127"/>
      <c r="F1" s="483"/>
    </row>
    <row r="2" spans="1:6" ht="16">
      <c r="A2" s="30"/>
    </row>
    <row r="3" spans="1:6" ht="32">
      <c r="A3" s="474" t="s">
        <v>448</v>
      </c>
      <c r="E3" s="481" t="s">
        <v>1197</v>
      </c>
      <c r="F3" s="485" t="s">
        <v>1196</v>
      </c>
    </row>
    <row r="4" spans="1:6" ht="16">
      <c r="A4" s="33" t="s">
        <v>1057</v>
      </c>
      <c r="B4" s="449">
        <f>SUMIFS('8 - Detailed Expenses'!$E:$E,'8 - Detailed Expenses'!$I:$I,'9 - Beijing Co expenses'!B$1,'8 - Detailed Expenses'!$G:$G,'9 - Beijing Co expenses'!$A4)</f>
        <v>0</v>
      </c>
      <c r="C4" s="449">
        <f>SUMIFS('8 - Detailed Expenses'!$E:$E,'8 - Detailed Expenses'!$I:$I,'9 - Beijing Co expenses'!C$1,'8 - Detailed Expenses'!$G:$G,'9 - Beijing Co expenses'!$A4)</f>
        <v>0</v>
      </c>
      <c r="D4" s="477">
        <f>SUM(B4:C4)</f>
        <v>0</v>
      </c>
      <c r="E4" s="128">
        <f>B4/$B$37</f>
        <v>0</v>
      </c>
      <c r="F4" s="34"/>
    </row>
    <row r="5" spans="1:6" ht="16">
      <c r="A5" s="33" t="s">
        <v>1058</v>
      </c>
      <c r="B5" s="449">
        <f>SUMIFS('8 - Detailed Expenses'!$E:$E,'8 - Detailed Expenses'!$I:$I,'9 - Beijing Co expenses'!B$1,'8 - Detailed Expenses'!$G:$G,'9 - Beijing Co expenses'!$A5)</f>
        <v>0</v>
      </c>
      <c r="C5" s="449">
        <f>SUMIFS('8 - Detailed Expenses'!$E:$E,'8 - Detailed Expenses'!$I:$I,'9 - Beijing Co expenses'!C$1,'8 - Detailed Expenses'!$G:$G,'9 - Beijing Co expenses'!$A5)</f>
        <v>0</v>
      </c>
      <c r="D5" s="477">
        <f t="shared" ref="D5:D35" si="0">SUM(B5:C5)</f>
        <v>0</v>
      </c>
      <c r="E5" s="128">
        <f t="shared" ref="E5:E35" si="1">B5/$B$37</f>
        <v>0</v>
      </c>
      <c r="F5" s="34"/>
    </row>
    <row r="6" spans="1:6" ht="16">
      <c r="A6" s="33" t="s">
        <v>1059</v>
      </c>
      <c r="B6" s="449">
        <f>SUMIFS('8 - Detailed Expenses'!$E:$E,'8 - Detailed Expenses'!$I:$I,'9 - Beijing Co expenses'!B$1,'8 - Detailed Expenses'!$G:$G,'9 - Beijing Co expenses'!$A6)</f>
        <v>0</v>
      </c>
      <c r="C6" s="449">
        <f>SUMIFS('8 - Detailed Expenses'!$E:$E,'8 - Detailed Expenses'!$I:$I,'9 - Beijing Co expenses'!C$1,'8 - Detailed Expenses'!$G:$G,'9 - Beijing Co expenses'!$A6)</f>
        <v>0</v>
      </c>
      <c r="D6" s="477">
        <f t="shared" si="0"/>
        <v>0</v>
      </c>
      <c r="E6" s="128">
        <f t="shared" si="1"/>
        <v>0</v>
      </c>
      <c r="F6" s="34"/>
    </row>
    <row r="7" spans="1:6" ht="16">
      <c r="A7" s="33" t="s">
        <v>1060</v>
      </c>
      <c r="B7" s="449">
        <f>SUMIFS('8 - Detailed Expenses'!$E:$E,'8 - Detailed Expenses'!$I:$I,'9 - Beijing Co expenses'!B$1,'8 - Detailed Expenses'!$G:$G,'9 - Beijing Co expenses'!$A7)</f>
        <v>0</v>
      </c>
      <c r="C7" s="449">
        <f>SUMIFS('8 - Detailed Expenses'!$E:$E,'8 - Detailed Expenses'!$I:$I,'9 - Beijing Co expenses'!C$1,'8 - Detailed Expenses'!$G:$G,'9 - Beijing Co expenses'!$A7)</f>
        <v>0</v>
      </c>
      <c r="D7" s="477">
        <f t="shared" si="0"/>
        <v>0</v>
      </c>
      <c r="E7" s="128">
        <f t="shared" si="1"/>
        <v>0</v>
      </c>
      <c r="F7" s="34"/>
    </row>
    <row r="8" spans="1:6" s="31" customFormat="1" ht="16">
      <c r="A8" s="33" t="s">
        <v>51</v>
      </c>
      <c r="B8" s="449">
        <f>SUMIFS('8 - Detailed Expenses'!$E:$E,'8 - Detailed Expenses'!$I:$I,'9 - Beijing Co expenses'!B$1,'8 - Detailed Expenses'!$G:$G,'9 - Beijing Co expenses'!$A8)</f>
        <v>33150.562087072074</v>
      </c>
      <c r="C8" s="449">
        <f>SUMIFS('8 - Detailed Expenses'!$E:$E,'8 - Detailed Expenses'!$I:$I,'9 - Beijing Co expenses'!C$1,'8 - Detailed Expenses'!$G:$G,'9 - Beijing Co expenses'!$A8)</f>
        <v>0</v>
      </c>
      <c r="D8" s="477">
        <f t="shared" si="0"/>
        <v>33150.562087072074</v>
      </c>
      <c r="E8" s="128">
        <f t="shared" si="1"/>
        <v>0.28768346648380522</v>
      </c>
      <c r="F8" s="482">
        <f>B8/D8</f>
        <v>1</v>
      </c>
    </row>
    <row r="9" spans="1:6" ht="16">
      <c r="A9" s="33" t="s">
        <v>1061</v>
      </c>
      <c r="B9" s="449">
        <f>SUMIFS('8 - Detailed Expenses'!$E:$E,'8 - Detailed Expenses'!$I:$I,'9 - Beijing Co expenses'!B$1,'8 - Detailed Expenses'!$G:$G,'9 - Beijing Co expenses'!$A9)</f>
        <v>0</v>
      </c>
      <c r="C9" s="449">
        <f>SUMIFS('8 - Detailed Expenses'!$E:$E,'8 - Detailed Expenses'!$I:$I,'9 - Beijing Co expenses'!C$1,'8 - Detailed Expenses'!$G:$G,'9 - Beijing Co expenses'!$A9)</f>
        <v>0</v>
      </c>
      <c r="D9" s="477">
        <f t="shared" si="0"/>
        <v>0</v>
      </c>
      <c r="E9" s="128">
        <f t="shared" si="1"/>
        <v>0</v>
      </c>
      <c r="F9" s="35"/>
    </row>
    <row r="10" spans="1:6" ht="16">
      <c r="A10" s="33" t="s">
        <v>20</v>
      </c>
      <c r="B10" s="449">
        <f>SUMIFS('8 - Detailed Expenses'!$E:$E,'8 - Detailed Expenses'!$I:$I,'9 - Beijing Co expenses'!B$1,'8 - Detailed Expenses'!$G:$G,'9 - Beijing Co expenses'!$A10)</f>
        <v>7563.4864211445956</v>
      </c>
      <c r="C10" s="449">
        <f>SUMIFS('8 - Detailed Expenses'!$E:$E,'8 - Detailed Expenses'!$I:$I,'9 - Beijing Co expenses'!C$1,'8 - Detailed Expenses'!$G:$G,'9 - Beijing Co expenses'!$A10)</f>
        <v>2158.1068231835898</v>
      </c>
      <c r="D10" s="477">
        <f t="shared" si="0"/>
        <v>9721.5932443281854</v>
      </c>
      <c r="E10" s="128">
        <f t="shared" si="1"/>
        <v>6.5636594233996787E-2</v>
      </c>
      <c r="F10" s="482">
        <f>B10/D10</f>
        <v>0.77800893650403635</v>
      </c>
    </row>
    <row r="11" spans="1:6" ht="16">
      <c r="A11" s="33" t="s">
        <v>1062</v>
      </c>
      <c r="B11" s="449">
        <f>SUMIFS('8 - Detailed Expenses'!$E:$E,'8 - Detailed Expenses'!$I:$I,'9 - Beijing Co expenses'!B$1,'8 - Detailed Expenses'!$G:$G,'9 - Beijing Co expenses'!$A11)</f>
        <v>0</v>
      </c>
      <c r="C11" s="449">
        <f>SUMIFS('8 - Detailed Expenses'!$E:$E,'8 - Detailed Expenses'!$I:$I,'9 - Beijing Co expenses'!C$1,'8 - Detailed Expenses'!$G:$G,'9 - Beijing Co expenses'!$A11)</f>
        <v>0</v>
      </c>
      <c r="D11" s="477">
        <f t="shared" si="0"/>
        <v>0</v>
      </c>
      <c r="E11" s="128">
        <f t="shared" si="1"/>
        <v>0</v>
      </c>
      <c r="F11" s="34"/>
    </row>
    <row r="12" spans="1:6" ht="16">
      <c r="A12" s="33" t="s">
        <v>19</v>
      </c>
      <c r="B12" s="449">
        <f>SUMIFS('8 - Detailed Expenses'!$E:$E,'8 - Detailed Expenses'!$I:$I,'9 - Beijing Co expenses'!B$1,'8 - Detailed Expenses'!$G:$G,'9 - Beijing Co expenses'!$A12)</f>
        <v>9475.9805907697719</v>
      </c>
      <c r="C12" s="449">
        <f>SUMIFS('8 - Detailed Expenses'!$E:$E,'8 - Detailed Expenses'!$I:$I,'9 - Beijing Co expenses'!C$1,'8 - Detailed Expenses'!$G:$G,'9 - Beijing Co expenses'!$A12)</f>
        <v>853.76088012012815</v>
      </c>
      <c r="D12" s="477">
        <f t="shared" si="0"/>
        <v>10329.7414708899</v>
      </c>
      <c r="E12" s="128">
        <f t="shared" si="1"/>
        <v>8.223338528998915E-2</v>
      </c>
      <c r="F12" s="482">
        <f t="shared" ref="F12:F16" si="2">B12/D12</f>
        <v>0.91734924997628453</v>
      </c>
    </row>
    <row r="13" spans="1:6" ht="16">
      <c r="A13" s="33" t="s">
        <v>127</v>
      </c>
      <c r="B13" s="449">
        <f>SUMIFS('8 - Detailed Expenses'!$E:$E,'8 - Detailed Expenses'!$I:$I,'9 - Beijing Co expenses'!B$1,'8 - Detailed Expenses'!$G:$G,'9 - Beijing Co expenses'!$A13)</f>
        <v>1823.5748403653115</v>
      </c>
      <c r="C13" s="449">
        <f>SUMIFS('8 - Detailed Expenses'!$E:$E,'8 - Detailed Expenses'!$I:$I,'9 - Beijing Co expenses'!C$1,'8 - Detailed Expenses'!$G:$G,'9 - Beijing Co expenses'!$A13)</f>
        <v>0</v>
      </c>
      <c r="D13" s="477">
        <f t="shared" si="0"/>
        <v>1823.5748403653115</v>
      </c>
      <c r="E13" s="128">
        <f t="shared" si="1"/>
        <v>1.5825141368373083E-2</v>
      </c>
      <c r="F13" s="482">
        <f t="shared" si="2"/>
        <v>1</v>
      </c>
    </row>
    <row r="14" spans="1:6" ht="16">
      <c r="A14" s="33" t="s">
        <v>108</v>
      </c>
      <c r="B14" s="449">
        <f>SUMIFS('8 - Detailed Expenses'!$E:$E,'8 - Detailed Expenses'!$I:$I,'9 - Beijing Co expenses'!B$1,'8 - Detailed Expenses'!$G:$G,'9 - Beijing Co expenses'!$A14)</f>
        <v>121.25151573490594</v>
      </c>
      <c r="C14" s="449">
        <f>SUMIFS('8 - Detailed Expenses'!$E:$E,'8 - Detailed Expenses'!$I:$I,'9 - Beijing Co expenses'!C$1,'8 - Detailed Expenses'!$G:$G,'9 - Beijing Co expenses'!$A14)</f>
        <v>69889.228911927625</v>
      </c>
      <c r="D14" s="477">
        <f t="shared" si="0"/>
        <v>70010.480427662536</v>
      </c>
      <c r="E14" s="128">
        <f t="shared" si="1"/>
        <v>1.052231219229811E-3</v>
      </c>
      <c r="F14" s="482">
        <f t="shared" si="2"/>
        <v>1.731905208966357E-3</v>
      </c>
    </row>
    <row r="15" spans="1:6" ht="16">
      <c r="A15" s="33" t="s">
        <v>110</v>
      </c>
      <c r="B15" s="449">
        <f>SUMIFS('8 - Detailed Expenses'!$E:$E,'8 - Detailed Expenses'!$I:$I,'9 - Beijing Co expenses'!B$1,'8 - Detailed Expenses'!$G:$G,'9 - Beijing Co expenses'!$A15)</f>
        <v>0</v>
      </c>
      <c r="C15" s="449">
        <f>SUMIFS('8 - Detailed Expenses'!$E:$E,'8 - Detailed Expenses'!$I:$I,'9 - Beijing Co expenses'!C$1,'8 - Detailed Expenses'!$G:$G,'9 - Beijing Co expenses'!$A15)</f>
        <v>3845</v>
      </c>
      <c r="D15" s="477">
        <f t="shared" si="0"/>
        <v>3845</v>
      </c>
      <c r="E15" s="128">
        <f t="shared" si="1"/>
        <v>0</v>
      </c>
      <c r="F15" s="482">
        <f t="shared" si="2"/>
        <v>0</v>
      </c>
    </row>
    <row r="16" spans="1:6" ht="16">
      <c r="A16" s="33" t="s">
        <v>107</v>
      </c>
      <c r="B16" s="449">
        <f>SUMIFS('8 - Detailed Expenses'!$E:$E,'8 - Detailed Expenses'!$I:$I,'9 - Beijing Co expenses'!B$1,'8 - Detailed Expenses'!$G:$G,'9 - Beijing Co expenses'!$A16)</f>
        <v>5490.1968565423876</v>
      </c>
      <c r="C16" s="449">
        <f>SUMIFS('8 - Detailed Expenses'!$E:$E,'8 - Detailed Expenses'!$I:$I,'9 - Beijing Co expenses'!C$1,'8 - Detailed Expenses'!$G:$G,'9 - Beijing Co expenses'!$A16)</f>
        <v>0</v>
      </c>
      <c r="D16" s="477">
        <f t="shared" si="0"/>
        <v>5490.1968565423876</v>
      </c>
      <c r="E16" s="128">
        <f t="shared" si="1"/>
        <v>4.7644406728914811E-2</v>
      </c>
      <c r="F16" s="482">
        <f t="shared" si="2"/>
        <v>1</v>
      </c>
    </row>
    <row r="17" spans="1:6" ht="16">
      <c r="A17" s="33" t="s">
        <v>128</v>
      </c>
      <c r="B17" s="449">
        <f>SUMIFS('8 - Detailed Expenses'!$E:$E,'8 - Detailed Expenses'!$I:$I,'9 - Beijing Co expenses'!B$1,'8 - Detailed Expenses'!$G:$G,'9 - Beijing Co expenses'!$A17)</f>
        <v>0</v>
      </c>
      <c r="C17" s="449">
        <f>SUMIFS('8 - Detailed Expenses'!$E:$E,'8 - Detailed Expenses'!$I:$I,'9 - Beijing Co expenses'!C$1,'8 - Detailed Expenses'!$G:$G,'9 - Beijing Co expenses'!$A17)</f>
        <v>0</v>
      </c>
      <c r="D17" s="477">
        <f t="shared" si="0"/>
        <v>0</v>
      </c>
      <c r="E17" s="128">
        <f t="shared" si="1"/>
        <v>0</v>
      </c>
      <c r="F17" s="34"/>
    </row>
    <row r="18" spans="1:6" ht="16">
      <c r="A18" s="33" t="s">
        <v>129</v>
      </c>
      <c r="B18" s="449">
        <f>SUMIFS('8 - Detailed Expenses'!$E:$E,'8 - Detailed Expenses'!$I:$I,'9 - Beijing Co expenses'!B$1,'8 - Detailed Expenses'!$G:$G,'9 - Beijing Co expenses'!$A18)</f>
        <v>0</v>
      </c>
      <c r="C18" s="449">
        <f>SUMIFS('8 - Detailed Expenses'!$E:$E,'8 - Detailed Expenses'!$I:$I,'9 - Beijing Co expenses'!C$1,'8 - Detailed Expenses'!$G:$G,'9 - Beijing Co expenses'!$A18)</f>
        <v>0</v>
      </c>
      <c r="D18" s="477">
        <f t="shared" si="0"/>
        <v>0</v>
      </c>
      <c r="E18" s="128">
        <f t="shared" si="1"/>
        <v>0</v>
      </c>
      <c r="F18" s="34"/>
    </row>
    <row r="19" spans="1:6" ht="16">
      <c r="A19" s="33" t="s">
        <v>130</v>
      </c>
      <c r="B19" s="449">
        <f>SUMIFS('8 - Detailed Expenses'!$E:$E,'8 - Detailed Expenses'!$I:$I,'9 - Beijing Co expenses'!B$1,'8 - Detailed Expenses'!$G:$G,'9 - Beijing Co expenses'!$A19)</f>
        <v>0</v>
      </c>
      <c r="C19" s="449">
        <f>SUMIFS('8 - Detailed Expenses'!$E:$E,'8 - Detailed Expenses'!$I:$I,'9 - Beijing Co expenses'!C$1,'8 - Detailed Expenses'!$G:$G,'9 - Beijing Co expenses'!$A19)</f>
        <v>0</v>
      </c>
      <c r="D19" s="477">
        <f t="shared" si="0"/>
        <v>0</v>
      </c>
      <c r="E19" s="128">
        <f t="shared" si="1"/>
        <v>0</v>
      </c>
      <c r="F19" s="34"/>
    </row>
    <row r="20" spans="1:6" ht="16">
      <c r="A20" s="33" t="s">
        <v>109</v>
      </c>
      <c r="B20" s="449">
        <f>SUMIFS('8 - Detailed Expenses'!$E:$E,'8 - Detailed Expenses'!$I:$I,'9 - Beijing Co expenses'!B$1,'8 - Detailed Expenses'!$G:$G,'9 - Beijing Co expenses'!$A20)</f>
        <v>0</v>
      </c>
      <c r="C20" s="449">
        <f>SUMIFS('8 - Detailed Expenses'!$E:$E,'8 - Detailed Expenses'!$I:$I,'9 - Beijing Co expenses'!C$1,'8 - Detailed Expenses'!$G:$G,'9 - Beijing Co expenses'!$A20)</f>
        <v>30005.645535334777</v>
      </c>
      <c r="D20" s="477">
        <f t="shared" si="0"/>
        <v>30005.645535334777</v>
      </c>
      <c r="E20" s="128">
        <f t="shared" si="1"/>
        <v>0</v>
      </c>
      <c r="F20" s="482">
        <f>B20/D20</f>
        <v>0</v>
      </c>
    </row>
    <row r="21" spans="1:6" ht="16">
      <c r="A21" s="33" t="s">
        <v>131</v>
      </c>
      <c r="B21" s="449">
        <f>SUMIFS('8 - Detailed Expenses'!$E:$E,'8 - Detailed Expenses'!$I:$I,'9 - Beijing Co expenses'!B$1,'8 - Detailed Expenses'!$G:$G,'9 - Beijing Co expenses'!$A21)</f>
        <v>0</v>
      </c>
      <c r="C21" s="449">
        <f>SUMIFS('8 - Detailed Expenses'!$E:$E,'8 - Detailed Expenses'!$I:$I,'9 - Beijing Co expenses'!C$1,'8 - Detailed Expenses'!$G:$G,'9 - Beijing Co expenses'!$A21)</f>
        <v>0</v>
      </c>
      <c r="D21" s="477">
        <f t="shared" si="0"/>
        <v>0</v>
      </c>
      <c r="E21" s="128">
        <f t="shared" si="1"/>
        <v>0</v>
      </c>
      <c r="F21" s="34"/>
    </row>
    <row r="22" spans="1:6" ht="16">
      <c r="A22" s="33" t="s">
        <v>114</v>
      </c>
      <c r="B22" s="449">
        <f>SUMIFS('8 - Detailed Expenses'!$E:$E,'8 - Detailed Expenses'!$I:$I,'9 - Beijing Co expenses'!B$1,'8 - Detailed Expenses'!$G:$G,'9 - Beijing Co expenses'!$A22)</f>
        <v>1740.5158617392253</v>
      </c>
      <c r="C22" s="449">
        <f>SUMIFS('8 - Detailed Expenses'!$E:$E,'8 - Detailed Expenses'!$I:$I,'9 - Beijing Co expenses'!C$1,'8 - Detailed Expenses'!$G:$G,'9 - Beijing Co expenses'!$A22)</f>
        <v>2823.896475785808</v>
      </c>
      <c r="D22" s="477">
        <f t="shared" si="0"/>
        <v>4564.4123375250329</v>
      </c>
      <c r="E22" s="128">
        <f t="shared" si="1"/>
        <v>1.5104348314216238E-2</v>
      </c>
      <c r="F22" s="482">
        <f t="shared" ref="F22:F23" si="3">B22/D22</f>
        <v>0.38132309989394769</v>
      </c>
    </row>
    <row r="23" spans="1:6" ht="16">
      <c r="A23" s="33" t="s">
        <v>111</v>
      </c>
      <c r="B23" s="449">
        <f>SUMIFS('8 - Detailed Expenses'!$E:$E,'8 - Detailed Expenses'!$I:$I,'9 - Beijing Co expenses'!B$1,'8 - Detailed Expenses'!$G:$G,'9 - Beijing Co expenses'!$A23)</f>
        <v>1411.4239742558327</v>
      </c>
      <c r="C23" s="449">
        <f>SUMIFS('8 - Detailed Expenses'!$E:$E,'8 - Detailed Expenses'!$I:$I,'9 - Beijing Co expenses'!C$1,'8 - Detailed Expenses'!$G:$G,'9 - Beijing Co expenses'!$A23)</f>
        <v>65178.633230613857</v>
      </c>
      <c r="D23" s="477">
        <f t="shared" si="0"/>
        <v>66590.057204869692</v>
      </c>
      <c r="E23" s="128">
        <f t="shared" si="1"/>
        <v>1.2248460238042668E-2</v>
      </c>
      <c r="F23" s="482">
        <f t="shared" si="3"/>
        <v>2.1195716500339874E-2</v>
      </c>
    </row>
    <row r="24" spans="1:6" ht="16">
      <c r="A24" s="33" t="s">
        <v>1063</v>
      </c>
      <c r="B24" s="449">
        <f>SUMIFS('8 - Detailed Expenses'!$E:$E,'8 - Detailed Expenses'!$I:$I,'9 - Beijing Co expenses'!B$1,'8 - Detailed Expenses'!$G:$G,'9 - Beijing Co expenses'!$A24)</f>
        <v>0</v>
      </c>
      <c r="C24" s="449">
        <f>SUMIFS('8 - Detailed Expenses'!$E:$E,'8 - Detailed Expenses'!$I:$I,'9 - Beijing Co expenses'!C$1,'8 - Detailed Expenses'!$G:$G,'9 - Beijing Co expenses'!$A24)</f>
        <v>0</v>
      </c>
      <c r="D24" s="477">
        <f t="shared" si="0"/>
        <v>0</v>
      </c>
      <c r="E24" s="128">
        <f t="shared" si="1"/>
        <v>0</v>
      </c>
      <c r="F24" s="34"/>
    </row>
    <row r="25" spans="1:6" ht="16">
      <c r="A25" s="33" t="s">
        <v>113</v>
      </c>
      <c r="B25" s="449">
        <f>SUMIFS('8 - Detailed Expenses'!$E:$E,'8 - Detailed Expenses'!$I:$I,'9 - Beijing Co expenses'!B$1,'8 - Detailed Expenses'!$G:$G,'9 - Beijing Co expenses'!$A25)</f>
        <v>46327.590119022898</v>
      </c>
      <c r="C25" s="449">
        <f>SUMIFS('8 - Detailed Expenses'!$E:$E,'8 - Detailed Expenses'!$I:$I,'9 - Beijing Co expenses'!C$1,'8 - Detailed Expenses'!$G:$G,'9 - Beijing Co expenses'!$A25)</f>
        <v>3215.580641735397</v>
      </c>
      <c r="D25" s="477">
        <f t="shared" si="0"/>
        <v>49543.170760758294</v>
      </c>
      <c r="E25" s="128">
        <f t="shared" si="1"/>
        <v>0.40203486397230254</v>
      </c>
      <c r="F25" s="482">
        <f t="shared" ref="F25:F26" si="4">B25/D25</f>
        <v>0.93509538060728314</v>
      </c>
    </row>
    <row r="26" spans="1:6" ht="16">
      <c r="A26" s="33" t="s">
        <v>132</v>
      </c>
      <c r="B26" s="449">
        <f>SUMIFS('8 - Detailed Expenses'!$E:$E,'8 - Detailed Expenses'!$I:$I,'9 - Beijing Co expenses'!B$1,'8 - Detailed Expenses'!$G:$G,'9 - Beijing Co expenses'!$A26)</f>
        <v>2876.8482429114151</v>
      </c>
      <c r="C26" s="449">
        <f>SUMIFS('8 - Detailed Expenses'!$E:$E,'8 - Detailed Expenses'!$I:$I,'9 - Beijing Co expenses'!C$1,'8 - Detailed Expenses'!$G:$G,'9 - Beijing Co expenses'!$A26)</f>
        <v>16545.011448934678</v>
      </c>
      <c r="D26" s="477">
        <f t="shared" si="0"/>
        <v>19421.859691846093</v>
      </c>
      <c r="E26" s="128">
        <f t="shared" si="1"/>
        <v>2.4965539736394177E-2</v>
      </c>
      <c r="F26" s="482">
        <f t="shared" si="4"/>
        <v>0.14812424188808276</v>
      </c>
    </row>
    <row r="27" spans="1:6" s="31" customFormat="1" ht="16">
      <c r="A27" s="33" t="s">
        <v>1064</v>
      </c>
      <c r="B27" s="449">
        <f>SUMIFS('8 - Detailed Expenses'!$E:$E,'8 - Detailed Expenses'!$I:$I,'9 - Beijing Co expenses'!B$1,'8 - Detailed Expenses'!$G:$G,'9 - Beijing Co expenses'!$A27)</f>
        <v>0</v>
      </c>
      <c r="C27" s="449">
        <f>SUMIFS('8 - Detailed Expenses'!$E:$E,'8 - Detailed Expenses'!$I:$I,'9 - Beijing Co expenses'!C$1,'8 - Detailed Expenses'!$G:$G,'9 - Beijing Co expenses'!$A27)</f>
        <v>0</v>
      </c>
      <c r="D27" s="477">
        <f t="shared" si="0"/>
        <v>0</v>
      </c>
      <c r="E27" s="128">
        <f t="shared" si="1"/>
        <v>0</v>
      </c>
      <c r="F27" s="34"/>
    </row>
    <row r="28" spans="1:6" s="31" customFormat="1" ht="16">
      <c r="A28" s="33" t="s">
        <v>106</v>
      </c>
      <c r="B28" s="449">
        <f>SUMIFS('8 - Detailed Expenses'!$E:$E,'8 - Detailed Expenses'!$I:$I,'9 - Beijing Co expenses'!B$1,'8 - Detailed Expenses'!$G:$G,'9 - Beijing Co expenses'!$A28)</f>
        <v>1768.1323309344689</v>
      </c>
      <c r="C28" s="449">
        <f>SUMIFS('8 - Detailed Expenses'!$E:$E,'8 - Detailed Expenses'!$I:$I,'9 - Beijing Co expenses'!C$1,'8 - Detailed Expenses'!$G:$G,'9 - Beijing Co expenses'!$A28)</f>
        <v>12073.413932604328</v>
      </c>
      <c r="D28" s="477">
        <f t="shared" si="0"/>
        <v>13841.546263538796</v>
      </c>
      <c r="E28" s="128">
        <f t="shared" si="1"/>
        <v>1.5344006440351879E-2</v>
      </c>
      <c r="F28" s="482">
        <f>B28/D28</f>
        <v>0.12774095446200676</v>
      </c>
    </row>
    <row r="29" spans="1:6" s="31" customFormat="1" ht="16">
      <c r="A29" s="33" t="s">
        <v>1065</v>
      </c>
      <c r="B29" s="449">
        <f>SUMIFS('8 - Detailed Expenses'!$E:$E,'8 - Detailed Expenses'!$I:$I,'9 - Beijing Co expenses'!B$1,'8 - Detailed Expenses'!$G:$G,'9 - Beijing Co expenses'!$A29)</f>
        <v>0</v>
      </c>
      <c r="C29" s="449">
        <f>SUMIFS('8 - Detailed Expenses'!$E:$E,'8 - Detailed Expenses'!$I:$I,'9 - Beijing Co expenses'!C$1,'8 - Detailed Expenses'!$G:$G,'9 - Beijing Co expenses'!$A29)</f>
        <v>0</v>
      </c>
      <c r="D29" s="477">
        <f t="shared" si="0"/>
        <v>0</v>
      </c>
      <c r="E29" s="128">
        <f t="shared" si="1"/>
        <v>0</v>
      </c>
      <c r="F29" s="34"/>
    </row>
    <row r="30" spans="1:6" s="31" customFormat="1" ht="16">
      <c r="A30" s="33" t="s">
        <v>133</v>
      </c>
      <c r="B30" s="449">
        <f>SUMIFS('8 - Detailed Expenses'!$E:$E,'8 - Detailed Expenses'!$I:$I,'9 - Beijing Co expenses'!B$1,'8 - Detailed Expenses'!$G:$G,'9 - Beijing Co expenses'!$A30)</f>
        <v>0</v>
      </c>
      <c r="C30" s="449">
        <f>SUMIFS('8 - Detailed Expenses'!$E:$E,'8 - Detailed Expenses'!$I:$I,'9 - Beijing Co expenses'!C$1,'8 - Detailed Expenses'!$G:$G,'9 - Beijing Co expenses'!$A30)</f>
        <v>14500</v>
      </c>
      <c r="D30" s="477">
        <f t="shared" si="0"/>
        <v>14500</v>
      </c>
      <c r="E30" s="128">
        <f t="shared" si="1"/>
        <v>0</v>
      </c>
      <c r="F30" s="482">
        <f>B30/D30</f>
        <v>0</v>
      </c>
    </row>
    <row r="31" spans="1:6" s="31" customFormat="1" ht="16">
      <c r="A31" s="33" t="s">
        <v>1066</v>
      </c>
      <c r="B31" s="449">
        <f>SUMIFS('8 - Detailed Expenses'!$E:$E,'8 - Detailed Expenses'!$I:$I,'9 - Beijing Co expenses'!B$1,'8 - Detailed Expenses'!$G:$G,'9 - Beijing Co expenses'!$A31)</f>
        <v>0</v>
      </c>
      <c r="C31" s="449">
        <f>SUMIFS('8 - Detailed Expenses'!$E:$E,'8 - Detailed Expenses'!$I:$I,'9 - Beijing Co expenses'!C$1,'8 - Detailed Expenses'!$G:$G,'9 - Beijing Co expenses'!$A31)</f>
        <v>0</v>
      </c>
      <c r="D31" s="477">
        <f t="shared" si="0"/>
        <v>0</v>
      </c>
      <c r="E31" s="128">
        <f t="shared" si="1"/>
        <v>0</v>
      </c>
      <c r="F31" s="34"/>
    </row>
    <row r="32" spans="1:6" s="31" customFormat="1" ht="16">
      <c r="A32" s="33" t="s">
        <v>112</v>
      </c>
      <c r="B32" s="449">
        <f>SUMIFS('8 - Detailed Expenses'!$E:$E,'8 - Detailed Expenses'!$I:$I,'9 - Beijing Co expenses'!B$1,'8 - Detailed Expenses'!$G:$G,'9 - Beijing Co expenses'!$A32)</f>
        <v>0</v>
      </c>
      <c r="C32" s="449">
        <f>SUMIFS('8 - Detailed Expenses'!$E:$E,'8 - Detailed Expenses'!$I:$I,'9 - Beijing Co expenses'!C$1,'8 - Detailed Expenses'!$G:$G,'9 - Beijing Co expenses'!$A32)</f>
        <v>2861.661656340355</v>
      </c>
      <c r="D32" s="477">
        <f t="shared" si="0"/>
        <v>2861.661656340355</v>
      </c>
      <c r="E32" s="128">
        <f t="shared" si="1"/>
        <v>0</v>
      </c>
      <c r="F32" s="482">
        <f t="shared" ref="F32:F33" si="5">B32/D32</f>
        <v>0</v>
      </c>
    </row>
    <row r="33" spans="1:6" s="31" customFormat="1" ht="16">
      <c r="A33" s="33" t="s">
        <v>1083</v>
      </c>
      <c r="B33" s="449">
        <f>SUMIFS('8 - Detailed Expenses'!$E:$E,'8 - Detailed Expenses'!$I:$I,'9 - Beijing Co expenses'!B$1,'8 - Detailed Expenses'!$G:$G,'9 - Beijing Co expenses'!$A33)</f>
        <v>3483.2049381108964</v>
      </c>
      <c r="C33" s="449">
        <f>SUMIFS('8 - Detailed Expenses'!$E:$E,'8 - Detailed Expenses'!$I:$I,'9 - Beijing Co expenses'!C$1,'8 - Detailed Expenses'!$G:$G,'9 - Beijing Co expenses'!$A33)</f>
        <v>1383.4457611905034</v>
      </c>
      <c r="D33" s="477">
        <f t="shared" si="0"/>
        <v>4866.6506993014</v>
      </c>
      <c r="E33" s="128">
        <f t="shared" si="1"/>
        <v>3.0227555974383633E-2</v>
      </c>
      <c r="F33" s="482">
        <f t="shared" si="5"/>
        <v>0.71572939036099403</v>
      </c>
    </row>
    <row r="34" spans="1:6" s="31" customFormat="1" ht="16">
      <c r="A34" s="33" t="s">
        <v>1084</v>
      </c>
      <c r="B34" s="449">
        <f>SUMIFS('8 - Detailed Expenses'!$E:$E,'8 - Detailed Expenses'!$I:$I,'9 - Beijing Co expenses'!B$1,'8 - Detailed Expenses'!$G:$G,'9 - Beijing Co expenses'!$A34)</f>
        <v>0</v>
      </c>
      <c r="C34" s="449">
        <f>SUMIFS('8 - Detailed Expenses'!$E:$E,'8 - Detailed Expenses'!$I:$I,'9 - Beijing Co expenses'!C$1,'8 - Detailed Expenses'!$G:$G,'9 - Beijing Co expenses'!$A34)</f>
        <v>0</v>
      </c>
      <c r="D34" s="477">
        <f t="shared" si="0"/>
        <v>0</v>
      </c>
      <c r="E34" s="128">
        <f t="shared" si="1"/>
        <v>0</v>
      </c>
      <c r="F34" s="34"/>
    </row>
    <row r="35" spans="1:6" s="31" customFormat="1" ht="16">
      <c r="A35" s="33" t="s">
        <v>1085</v>
      </c>
      <c r="B35" s="449">
        <f>SUMIFS('8 - Detailed Expenses'!$E:$E,'8 - Detailed Expenses'!$I:$I,'9 - Beijing Co expenses'!B$1,'8 - Detailed Expenses'!$G:$G,'9 - Beijing Co expenses'!$A35)</f>
        <v>0</v>
      </c>
      <c r="C35" s="449">
        <f>SUMIFS('8 - Detailed Expenses'!$E:$E,'8 - Detailed Expenses'!$I:$I,'9 - Beijing Co expenses'!C$1,'8 - Detailed Expenses'!$G:$G,'9 - Beijing Co expenses'!$A35)</f>
        <v>0</v>
      </c>
      <c r="D35" s="477">
        <f t="shared" si="0"/>
        <v>0</v>
      </c>
      <c r="E35" s="128">
        <f t="shared" si="1"/>
        <v>0</v>
      </c>
      <c r="F35" s="34"/>
    </row>
    <row r="36" spans="1:6" ht="16">
      <c r="A36" s="36"/>
      <c r="B36" s="450"/>
      <c r="C36" s="450"/>
      <c r="D36" s="478"/>
    </row>
    <row r="37" spans="1:6" s="29" customFormat="1" ht="16">
      <c r="A37" s="37" t="s">
        <v>278</v>
      </c>
      <c r="B37" s="451">
        <f>SUM(B4:B36)</f>
        <v>115232.76777860378</v>
      </c>
      <c r="C37" s="451">
        <f>SUM(C4:C36)</f>
        <v>225333.38529777105</v>
      </c>
      <c r="D37" s="479">
        <f>SUM(D4:D36)</f>
        <v>340566.15307637479</v>
      </c>
      <c r="E37" s="129">
        <f>B37/D37</f>
        <v>0.33835648885742875</v>
      </c>
      <c r="F37" s="486">
        <f>B37/D37</f>
        <v>0.33835648885742875</v>
      </c>
    </row>
    <row r="38" spans="1:6" ht="16">
      <c r="A38" s="36"/>
    </row>
    <row r="39" spans="1:6" ht="16">
      <c r="A39" s="36"/>
      <c r="B39" s="475">
        <f>B37/D37</f>
        <v>0.33835648885742875</v>
      </c>
      <c r="C39" s="476">
        <f>C37/D37</f>
        <v>0.66164351114257136</v>
      </c>
      <c r="D39" s="480">
        <f>D37/D37</f>
        <v>1</v>
      </c>
    </row>
    <row r="40" spans="1:6" ht="16">
      <c r="A40" s="36"/>
    </row>
    <row r="41" spans="1:6" ht="16">
      <c r="A41" s="36"/>
    </row>
    <row r="42" spans="1:6" ht="16">
      <c r="A42" s="36"/>
    </row>
    <row r="43" spans="1:6" ht="16">
      <c r="A43" s="36"/>
    </row>
    <row r="44" spans="1:6" ht="16">
      <c r="A44" s="36"/>
    </row>
  </sheetData>
  <phoneticPr fontId="41" type="noConversion"/>
  <pageMargins left="0.69861111111111107" right="0.69861111111111107" top="0.75" bottom="0.75" header="0.3" footer="0.3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zoomScale="125" zoomScaleNormal="125" zoomScalePageLayoutView="125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D21" sqref="D21"/>
    </sheetView>
  </sheetViews>
  <sheetFormatPr baseColWidth="10" defaultColWidth="9" defaultRowHeight="13" x14ac:dyDescent="0"/>
  <cols>
    <col min="1" max="1" width="9" style="277"/>
    <col min="2" max="2" width="9" style="274"/>
    <col min="3" max="3" width="29" style="274" customWidth="1"/>
    <col min="4" max="4" width="8" style="280" customWidth="1"/>
    <col min="5" max="5" width="10.5" style="432" customWidth="1"/>
    <col min="6" max="6" width="26" style="274" customWidth="1"/>
    <col min="7" max="7" width="41.83203125" style="274" customWidth="1"/>
    <col min="8" max="8" width="30.6640625" style="274" customWidth="1"/>
    <col min="9" max="9" width="12.6640625" style="281" customWidth="1"/>
    <col min="10" max="10" width="12.1640625" style="274" customWidth="1"/>
    <col min="11" max="11" width="11.33203125" style="274" bestFit="1" customWidth="1"/>
    <col min="12" max="16384" width="9" style="274"/>
  </cols>
  <sheetData>
    <row r="1" spans="1:15" s="88" customFormat="1" ht="14">
      <c r="A1" s="412" t="s">
        <v>502</v>
      </c>
      <c r="B1" s="376" t="s">
        <v>503</v>
      </c>
      <c r="C1" s="376" t="s">
        <v>504</v>
      </c>
      <c r="D1" s="415" t="s">
        <v>596</v>
      </c>
      <c r="E1" s="431" t="s">
        <v>597</v>
      </c>
      <c r="F1" s="376" t="s">
        <v>505</v>
      </c>
      <c r="G1" s="376" t="s">
        <v>399</v>
      </c>
      <c r="H1" s="414" t="s">
        <v>400</v>
      </c>
      <c r="I1" s="376" t="s">
        <v>401</v>
      </c>
      <c r="J1" s="415" t="s">
        <v>104</v>
      </c>
      <c r="K1" s="414" t="s">
        <v>1068</v>
      </c>
      <c r="L1" s="416"/>
      <c r="M1" s="87"/>
      <c r="N1" s="87"/>
    </row>
    <row r="2" spans="1:15" s="88" customFormat="1" ht="14">
      <c r="A2" s="219">
        <v>3589</v>
      </c>
      <c r="B2" s="106">
        <v>41392</v>
      </c>
      <c r="C2" s="92" t="s">
        <v>678</v>
      </c>
      <c r="D2" s="105">
        <v>7500</v>
      </c>
      <c r="E2" s="413">
        <f>D2/'12 - Equity Statement'!$L$10</f>
        <v>1201.1723442079469</v>
      </c>
      <c r="F2" s="92" t="s">
        <v>509</v>
      </c>
      <c r="G2" s="91" t="s">
        <v>51</v>
      </c>
      <c r="H2" s="356" t="s">
        <v>119</v>
      </c>
      <c r="I2" s="91" t="s">
        <v>1109</v>
      </c>
      <c r="J2" s="92" t="s">
        <v>188</v>
      </c>
      <c r="K2" s="355"/>
      <c r="L2" s="416"/>
      <c r="M2" s="218">
        <f>SUM(E2:E143)</f>
        <v>106403.79360458041</v>
      </c>
    </row>
    <row r="3" spans="1:15" s="88" customFormat="1" ht="14">
      <c r="A3" s="352">
        <v>3772</v>
      </c>
      <c r="B3" s="354">
        <v>41519</v>
      </c>
      <c r="C3" s="257" t="s">
        <v>823</v>
      </c>
      <c r="D3" s="276">
        <v>7500</v>
      </c>
      <c r="E3" s="413">
        <f>D3/6.0121</f>
        <v>1247.4842401157664</v>
      </c>
      <c r="F3" s="257" t="s">
        <v>509</v>
      </c>
      <c r="G3" s="91" t="s">
        <v>51</v>
      </c>
      <c r="H3" s="355" t="s">
        <v>1071</v>
      </c>
      <c r="I3" s="91" t="s">
        <v>1109</v>
      </c>
      <c r="J3" s="257" t="s">
        <v>188</v>
      </c>
      <c r="K3" s="355" t="s">
        <v>32</v>
      </c>
      <c r="L3" s="416"/>
    </row>
    <row r="4" spans="1:15" s="88" customFormat="1" ht="14">
      <c r="A4" s="351">
        <v>4009</v>
      </c>
      <c r="B4" s="353">
        <v>41639</v>
      </c>
      <c r="C4" s="264" t="s">
        <v>173</v>
      </c>
      <c r="D4" s="278">
        <v>7500</v>
      </c>
      <c r="E4" s="413">
        <f>D4/6.0058</f>
        <v>1248.7928335941924</v>
      </c>
      <c r="F4" s="264" t="s">
        <v>509</v>
      </c>
      <c r="G4" s="91" t="s">
        <v>51</v>
      </c>
      <c r="H4" s="355" t="s">
        <v>118</v>
      </c>
      <c r="I4" s="268" t="s">
        <v>1109</v>
      </c>
      <c r="J4" s="91" t="s">
        <v>291</v>
      </c>
      <c r="K4" s="355" t="s">
        <v>24</v>
      </c>
      <c r="L4" s="416" t="s">
        <v>402</v>
      </c>
      <c r="M4" s="264" t="s">
        <v>402</v>
      </c>
      <c r="N4" s="351" t="s">
        <v>402</v>
      </c>
    </row>
    <row r="5" spans="1:15" s="88" customFormat="1" ht="14">
      <c r="A5" s="219">
        <v>3441</v>
      </c>
      <c r="B5" s="106">
        <v>41333</v>
      </c>
      <c r="C5" s="92" t="s">
        <v>442</v>
      </c>
      <c r="D5" s="105">
        <v>7500</v>
      </c>
      <c r="E5" s="413">
        <f>D5/'12 - Equity Statement'!$J$10</f>
        <v>1194.6670064830596</v>
      </c>
      <c r="F5" s="92" t="s">
        <v>509</v>
      </c>
      <c r="G5" s="91" t="s">
        <v>51</v>
      </c>
      <c r="H5" s="355" t="s">
        <v>118</v>
      </c>
      <c r="I5" s="91" t="s">
        <v>1109</v>
      </c>
      <c r="J5" s="92" t="s">
        <v>188</v>
      </c>
      <c r="K5" s="355" t="s">
        <v>24</v>
      </c>
      <c r="L5" s="416"/>
    </row>
    <row r="6" spans="1:15" s="88" customFormat="1" ht="14">
      <c r="A6" s="220">
        <v>3363</v>
      </c>
      <c r="B6" s="104">
        <v>41305</v>
      </c>
      <c r="C6" s="91" t="s">
        <v>732</v>
      </c>
      <c r="D6" s="105">
        <v>7500</v>
      </c>
      <c r="E6" s="411">
        <f>D6/'12 - Equity Statement'!$I$10</f>
        <v>1206.7578439259855</v>
      </c>
      <c r="F6" s="91" t="s">
        <v>509</v>
      </c>
      <c r="G6" s="91" t="s">
        <v>51</v>
      </c>
      <c r="H6" s="355" t="s">
        <v>118</v>
      </c>
      <c r="I6" s="91" t="s">
        <v>1109</v>
      </c>
      <c r="J6" s="91" t="s">
        <v>188</v>
      </c>
      <c r="K6" s="123"/>
      <c r="L6" s="349"/>
      <c r="M6" s="123"/>
      <c r="N6" s="123"/>
      <c r="O6" s="123"/>
    </row>
    <row r="7" spans="1:15" s="88" customFormat="1" ht="14">
      <c r="A7" s="220">
        <v>3728</v>
      </c>
      <c r="B7" s="104">
        <v>41486</v>
      </c>
      <c r="C7" s="91" t="s">
        <v>236</v>
      </c>
      <c r="D7" s="105">
        <v>7500</v>
      </c>
      <c r="E7" s="413">
        <f>D7/6.0506</f>
        <v>1239.5464912570653</v>
      </c>
      <c r="F7" s="91" t="s">
        <v>509</v>
      </c>
      <c r="G7" s="91" t="s">
        <v>51</v>
      </c>
      <c r="H7" s="356" t="s">
        <v>119</v>
      </c>
      <c r="I7" s="91" t="s">
        <v>1109</v>
      </c>
      <c r="J7" s="91" t="s">
        <v>291</v>
      </c>
      <c r="K7" s="355"/>
      <c r="L7" s="416"/>
    </row>
    <row r="8" spans="1:15" s="88" customFormat="1" ht="14">
      <c r="A8" s="219">
        <v>3655</v>
      </c>
      <c r="B8" s="106">
        <v>41453</v>
      </c>
      <c r="C8" s="92" t="s">
        <v>600</v>
      </c>
      <c r="D8" s="105">
        <v>7500</v>
      </c>
      <c r="E8" s="413">
        <f>D8/'12 - Equity Statement'!$N$10</f>
        <v>1239.1573729863692</v>
      </c>
      <c r="F8" s="92" t="s">
        <v>509</v>
      </c>
      <c r="G8" s="91" t="s">
        <v>51</v>
      </c>
      <c r="H8" s="355" t="s">
        <v>1071</v>
      </c>
      <c r="I8" s="91" t="s">
        <v>1109</v>
      </c>
      <c r="J8" s="92" t="s">
        <v>188</v>
      </c>
      <c r="K8" s="355" t="s">
        <v>32</v>
      </c>
      <c r="L8" s="416"/>
    </row>
    <row r="9" spans="1:15" s="88" customFormat="1" ht="14">
      <c r="A9" s="219">
        <v>3519</v>
      </c>
      <c r="B9" s="106">
        <v>41362</v>
      </c>
      <c r="C9" s="92" t="s">
        <v>720</v>
      </c>
      <c r="D9" s="105">
        <v>7500</v>
      </c>
      <c r="E9" s="413">
        <f>D9/'12 - Equity Statement'!$K$10</f>
        <v>1196.3821404074079</v>
      </c>
      <c r="F9" s="92" t="s">
        <v>509</v>
      </c>
      <c r="G9" s="91" t="s">
        <v>51</v>
      </c>
      <c r="H9" s="355" t="s">
        <v>1071</v>
      </c>
      <c r="I9" s="91" t="s">
        <v>1109</v>
      </c>
      <c r="J9" s="92" t="s">
        <v>101</v>
      </c>
      <c r="K9" s="355" t="s">
        <v>32</v>
      </c>
      <c r="L9" s="416"/>
    </row>
    <row r="10" spans="1:15" s="88" customFormat="1" ht="14">
      <c r="A10" s="219">
        <v>3630</v>
      </c>
      <c r="B10" s="106">
        <v>41425</v>
      </c>
      <c r="C10" s="92" t="s">
        <v>532</v>
      </c>
      <c r="D10" s="105">
        <v>7500</v>
      </c>
      <c r="E10" s="413">
        <f>D10/'12 - Equity Statement'!$M$10</f>
        <v>1225.7706011179027</v>
      </c>
      <c r="F10" s="92" t="s">
        <v>427</v>
      </c>
      <c r="G10" s="91" t="s">
        <v>51</v>
      </c>
      <c r="H10" s="356" t="s">
        <v>119</v>
      </c>
      <c r="I10" s="91" t="s">
        <v>1109</v>
      </c>
      <c r="J10" s="92" t="s">
        <v>188</v>
      </c>
      <c r="K10" s="355"/>
      <c r="L10" s="416"/>
    </row>
    <row r="11" spans="1:15" s="88" customFormat="1" ht="14">
      <c r="A11" s="260">
        <v>3952</v>
      </c>
      <c r="B11" s="265">
        <v>41608</v>
      </c>
      <c r="C11" s="259" t="s">
        <v>972</v>
      </c>
      <c r="D11" s="262">
        <v>7500</v>
      </c>
      <c r="E11" s="413">
        <f>D11/6.0045</f>
        <v>1249.0632025980515</v>
      </c>
      <c r="F11" s="259" t="s">
        <v>509</v>
      </c>
      <c r="G11" s="91" t="s">
        <v>51</v>
      </c>
      <c r="H11" s="355" t="s">
        <v>1071</v>
      </c>
      <c r="I11" s="268" t="s">
        <v>1109</v>
      </c>
      <c r="J11" s="91" t="s">
        <v>291</v>
      </c>
      <c r="K11" s="355" t="s">
        <v>32</v>
      </c>
      <c r="L11" s="416" t="s">
        <v>402</v>
      </c>
      <c r="M11" s="259" t="s">
        <v>402</v>
      </c>
      <c r="N11" s="260" t="s">
        <v>402</v>
      </c>
      <c r="O11" s="218"/>
    </row>
    <row r="12" spans="1:15" s="88" customFormat="1" ht="14">
      <c r="A12" s="219">
        <v>3588</v>
      </c>
      <c r="B12" s="106">
        <v>41392</v>
      </c>
      <c r="C12" s="92" t="s">
        <v>790</v>
      </c>
      <c r="D12" s="105">
        <v>10000</v>
      </c>
      <c r="E12" s="413">
        <f>D12/'12 - Equity Statement'!L10</f>
        <v>1601.563125610596</v>
      </c>
      <c r="F12" s="92" t="s">
        <v>511</v>
      </c>
      <c r="G12" s="91" t="s">
        <v>51</v>
      </c>
      <c r="H12" s="355" t="s">
        <v>1071</v>
      </c>
      <c r="I12" s="91" t="s">
        <v>1109</v>
      </c>
      <c r="J12" s="91" t="s">
        <v>175</v>
      </c>
      <c r="K12" s="355" t="s">
        <v>29</v>
      </c>
      <c r="L12" s="416"/>
    </row>
    <row r="13" spans="1:15" s="88" customFormat="1" ht="14">
      <c r="A13" s="352">
        <v>3771</v>
      </c>
      <c r="B13" s="354">
        <v>41516</v>
      </c>
      <c r="C13" s="257" t="s">
        <v>713</v>
      </c>
      <c r="D13" s="276">
        <v>10000</v>
      </c>
      <c r="E13" s="413">
        <f>D13/6.0406</f>
        <v>1655.4646889381847</v>
      </c>
      <c r="F13" s="92" t="s">
        <v>511</v>
      </c>
      <c r="G13" s="91" t="s">
        <v>51</v>
      </c>
      <c r="H13" s="355" t="s">
        <v>1071</v>
      </c>
      <c r="I13" s="91" t="s">
        <v>1109</v>
      </c>
      <c r="J13" s="91" t="s">
        <v>175</v>
      </c>
      <c r="K13" s="355" t="s">
        <v>29</v>
      </c>
      <c r="L13" s="416"/>
    </row>
    <row r="14" spans="1:15" s="88" customFormat="1" ht="14">
      <c r="A14" s="351">
        <v>4008</v>
      </c>
      <c r="B14" s="353">
        <v>41639</v>
      </c>
      <c r="C14" s="264" t="s">
        <v>174</v>
      </c>
      <c r="D14" s="278">
        <v>10000</v>
      </c>
      <c r="E14" s="413">
        <f>D14/6.0058</f>
        <v>1665.0571114589231</v>
      </c>
      <c r="F14" s="92" t="s">
        <v>511</v>
      </c>
      <c r="G14" s="91" t="s">
        <v>51</v>
      </c>
      <c r="H14" s="355" t="s">
        <v>1071</v>
      </c>
      <c r="I14" s="268" t="s">
        <v>1109</v>
      </c>
      <c r="J14" s="264" t="s">
        <v>175</v>
      </c>
      <c r="K14" s="355" t="s">
        <v>29</v>
      </c>
      <c r="L14" s="416" t="s">
        <v>402</v>
      </c>
      <c r="M14" s="264" t="s">
        <v>402</v>
      </c>
      <c r="N14" s="351" t="s">
        <v>402</v>
      </c>
    </row>
    <row r="15" spans="1:15" s="88" customFormat="1" ht="14">
      <c r="A15" s="219">
        <v>3440</v>
      </c>
      <c r="B15" s="106">
        <v>41333</v>
      </c>
      <c r="C15" s="92" t="s">
        <v>441</v>
      </c>
      <c r="D15" s="105">
        <v>10000</v>
      </c>
      <c r="E15" s="413">
        <f>D15/'12 - Equity Statement'!$J$10</f>
        <v>1592.8893419774129</v>
      </c>
      <c r="F15" s="92" t="s">
        <v>511</v>
      </c>
      <c r="G15" s="91" t="s">
        <v>51</v>
      </c>
      <c r="H15" s="355" t="s">
        <v>1071</v>
      </c>
      <c r="I15" s="91" t="s">
        <v>1109</v>
      </c>
      <c r="J15" s="91" t="s">
        <v>175</v>
      </c>
      <c r="K15" s="355" t="s">
        <v>29</v>
      </c>
      <c r="L15" s="416"/>
    </row>
    <row r="16" spans="1:15" s="88" customFormat="1" ht="14">
      <c r="A16" s="220">
        <v>3362</v>
      </c>
      <c r="B16" s="104">
        <v>41305</v>
      </c>
      <c r="C16" s="91" t="s">
        <v>731</v>
      </c>
      <c r="D16" s="105">
        <v>10000</v>
      </c>
      <c r="E16" s="411">
        <f>D16/'12 - Equity Statement'!$I$10</f>
        <v>1609.0104585679808</v>
      </c>
      <c r="F16" s="92" t="s">
        <v>511</v>
      </c>
      <c r="G16" s="91" t="s">
        <v>51</v>
      </c>
      <c r="H16" s="355" t="s">
        <v>118</v>
      </c>
      <c r="I16" s="91" t="s">
        <v>1109</v>
      </c>
      <c r="J16" s="91" t="s">
        <v>175</v>
      </c>
      <c r="K16" s="123"/>
      <c r="L16" s="349"/>
      <c r="M16" s="123"/>
      <c r="N16" s="123"/>
      <c r="O16" s="123"/>
    </row>
    <row r="17" spans="1:15" s="88" customFormat="1" ht="14">
      <c r="A17" s="220">
        <v>3726</v>
      </c>
      <c r="B17" s="104">
        <v>41486</v>
      </c>
      <c r="C17" s="91" t="s">
        <v>225</v>
      </c>
      <c r="D17" s="105">
        <v>10000</v>
      </c>
      <c r="E17" s="413">
        <f>D17/6.0506</f>
        <v>1652.7286550094204</v>
      </c>
      <c r="F17" s="92" t="s">
        <v>511</v>
      </c>
      <c r="G17" s="91" t="s">
        <v>51</v>
      </c>
      <c r="H17" s="355" t="s">
        <v>118</v>
      </c>
      <c r="I17" s="91" t="s">
        <v>1109</v>
      </c>
      <c r="J17" s="91" t="s">
        <v>175</v>
      </c>
      <c r="K17" s="355" t="s">
        <v>23</v>
      </c>
      <c r="L17" s="416"/>
    </row>
    <row r="18" spans="1:15" s="88" customFormat="1" ht="14">
      <c r="A18" s="219">
        <v>3654</v>
      </c>
      <c r="B18" s="106">
        <v>41453</v>
      </c>
      <c r="C18" s="92" t="s">
        <v>606</v>
      </c>
      <c r="D18" s="105">
        <v>10000</v>
      </c>
      <c r="E18" s="413">
        <f>D18/'12 - Equity Statement'!N10</f>
        <v>1652.2098306484922</v>
      </c>
      <c r="F18" s="92" t="s">
        <v>511</v>
      </c>
      <c r="G18" s="91" t="s">
        <v>51</v>
      </c>
      <c r="H18" s="355" t="s">
        <v>118</v>
      </c>
      <c r="I18" s="91" t="s">
        <v>1109</v>
      </c>
      <c r="J18" s="91" t="s">
        <v>175</v>
      </c>
      <c r="K18" s="355" t="s">
        <v>23</v>
      </c>
      <c r="L18" s="416"/>
    </row>
    <row r="19" spans="1:15" s="88" customFormat="1" ht="14">
      <c r="A19" s="219">
        <v>3518</v>
      </c>
      <c r="B19" s="106">
        <v>41362</v>
      </c>
      <c r="C19" s="92" t="s">
        <v>584</v>
      </c>
      <c r="D19" s="105">
        <v>10000</v>
      </c>
      <c r="E19" s="413">
        <f>D19/'12 - Equity Statement'!K10</f>
        <v>1595.1761872098773</v>
      </c>
      <c r="F19" s="92" t="s">
        <v>511</v>
      </c>
      <c r="G19" s="91" t="s">
        <v>51</v>
      </c>
      <c r="H19" s="355" t="s">
        <v>1071</v>
      </c>
      <c r="I19" s="91" t="s">
        <v>1109</v>
      </c>
      <c r="J19" s="91" t="s">
        <v>175</v>
      </c>
      <c r="K19" s="355" t="s">
        <v>29</v>
      </c>
      <c r="L19" s="416"/>
    </row>
    <row r="20" spans="1:15" s="88" customFormat="1" ht="14">
      <c r="A20" s="219">
        <v>3629</v>
      </c>
      <c r="B20" s="106">
        <v>41425</v>
      </c>
      <c r="C20" s="92" t="s">
        <v>531</v>
      </c>
      <c r="D20" s="105">
        <v>10000</v>
      </c>
      <c r="E20" s="413">
        <f>D20/'12 - Equity Statement'!M10</f>
        <v>1634.3608014905371</v>
      </c>
      <c r="F20" s="92" t="s">
        <v>511</v>
      </c>
      <c r="G20" s="91" t="s">
        <v>51</v>
      </c>
      <c r="H20" s="355" t="s">
        <v>118</v>
      </c>
      <c r="I20" s="91" t="s">
        <v>1109</v>
      </c>
      <c r="J20" s="91" t="s">
        <v>175</v>
      </c>
      <c r="K20" s="355" t="s">
        <v>23</v>
      </c>
      <c r="L20" s="416"/>
    </row>
    <row r="21" spans="1:15" s="88" customFormat="1" ht="14">
      <c r="A21" s="260">
        <v>3950</v>
      </c>
      <c r="B21" s="265">
        <v>41608</v>
      </c>
      <c r="C21" s="259" t="s">
        <v>974</v>
      </c>
      <c r="D21" s="262">
        <v>10000</v>
      </c>
      <c r="E21" s="413">
        <f>D21/6.0045</f>
        <v>1665.4176034640686</v>
      </c>
      <c r="F21" s="92" t="s">
        <v>511</v>
      </c>
      <c r="G21" s="91" t="s">
        <v>51</v>
      </c>
      <c r="H21" s="355" t="s">
        <v>1071</v>
      </c>
      <c r="I21" s="268" t="s">
        <v>1109</v>
      </c>
      <c r="J21" s="259" t="s">
        <v>175</v>
      </c>
      <c r="K21" s="355" t="s">
        <v>29</v>
      </c>
      <c r="L21" s="416" t="s">
        <v>402</v>
      </c>
      <c r="M21" s="259" t="s">
        <v>402</v>
      </c>
      <c r="N21" s="260" t="s">
        <v>402</v>
      </c>
      <c r="O21" s="218"/>
    </row>
    <row r="22" spans="1:15" s="88" customFormat="1" ht="14">
      <c r="A22" s="352">
        <v>3938</v>
      </c>
      <c r="B22" s="354">
        <v>41578</v>
      </c>
      <c r="C22" s="257" t="s">
        <v>977</v>
      </c>
      <c r="D22" s="276">
        <v>10000</v>
      </c>
      <c r="E22" s="413">
        <f>D22/6.0043</f>
        <v>1665.4730776277001</v>
      </c>
      <c r="F22" s="92" t="s">
        <v>511</v>
      </c>
      <c r="G22" s="91" t="s">
        <v>51</v>
      </c>
      <c r="H22" s="355" t="s">
        <v>1071</v>
      </c>
      <c r="I22" s="268" t="s">
        <v>1109</v>
      </c>
      <c r="J22" s="268" t="s">
        <v>175</v>
      </c>
      <c r="K22" s="355" t="s">
        <v>29</v>
      </c>
      <c r="L22" s="416"/>
    </row>
    <row r="23" spans="1:15" s="88" customFormat="1" ht="14">
      <c r="A23" s="352">
        <v>3801</v>
      </c>
      <c r="B23" s="354">
        <v>41545</v>
      </c>
      <c r="C23" s="257" t="s">
        <v>931</v>
      </c>
      <c r="D23" s="276">
        <v>10000</v>
      </c>
      <c r="E23" s="413">
        <f>D23/6.0121</f>
        <v>1663.3123201543553</v>
      </c>
      <c r="F23" s="92" t="s">
        <v>511</v>
      </c>
      <c r="G23" s="91" t="s">
        <v>51</v>
      </c>
      <c r="H23" s="355" t="s">
        <v>1071</v>
      </c>
      <c r="I23" s="91" t="s">
        <v>1109</v>
      </c>
      <c r="J23" s="268" t="s">
        <v>175</v>
      </c>
      <c r="K23" s="355" t="s">
        <v>29</v>
      </c>
      <c r="L23" s="416"/>
    </row>
    <row r="24" spans="1:15" s="88" customFormat="1" ht="14">
      <c r="A24" s="352">
        <v>3894</v>
      </c>
      <c r="B24" s="354">
        <v>41578</v>
      </c>
      <c r="C24" s="257" t="s">
        <v>981</v>
      </c>
      <c r="D24" s="276">
        <v>7500</v>
      </c>
      <c r="E24" s="413">
        <f>D24/6.0043</f>
        <v>1249.1048082207751</v>
      </c>
      <c r="F24" s="257" t="s">
        <v>509</v>
      </c>
      <c r="G24" s="91" t="s">
        <v>51</v>
      </c>
      <c r="H24" s="355" t="s">
        <v>118</v>
      </c>
      <c r="I24" s="268" t="s">
        <v>1109</v>
      </c>
      <c r="J24" s="257" t="s">
        <v>188</v>
      </c>
      <c r="K24" s="355" t="s">
        <v>24</v>
      </c>
      <c r="L24" s="416"/>
    </row>
    <row r="25" spans="1:15" s="88" customFormat="1" ht="14">
      <c r="A25" s="219">
        <v>3444</v>
      </c>
      <c r="B25" s="106">
        <v>41333</v>
      </c>
      <c r="C25" s="92" t="s">
        <v>547</v>
      </c>
      <c r="D25" s="105">
        <v>4000</v>
      </c>
      <c r="E25" s="413">
        <f>D25/'12 - Equity Statement'!$J$10</f>
        <v>637.15573679096519</v>
      </c>
      <c r="F25" s="92" t="s">
        <v>603</v>
      </c>
      <c r="G25" s="91" t="s">
        <v>20</v>
      </c>
      <c r="H25" s="356" t="s">
        <v>119</v>
      </c>
      <c r="I25" s="91" t="s">
        <v>1110</v>
      </c>
      <c r="J25" s="92" t="s">
        <v>188</v>
      </c>
      <c r="K25" s="355"/>
      <c r="L25" s="416"/>
    </row>
    <row r="26" spans="1:15" s="88" customFormat="1" ht="14">
      <c r="A26" s="220">
        <v>3369</v>
      </c>
      <c r="B26" s="104">
        <v>41305</v>
      </c>
      <c r="C26" s="91" t="s">
        <v>602</v>
      </c>
      <c r="D26" s="105">
        <v>4000</v>
      </c>
      <c r="E26" s="411">
        <f>D26/'12 - Equity Statement'!$I$10</f>
        <v>643.60418342719231</v>
      </c>
      <c r="F26" s="91" t="s">
        <v>603</v>
      </c>
      <c r="G26" s="91" t="s">
        <v>20</v>
      </c>
      <c r="H26" s="355" t="s">
        <v>118</v>
      </c>
      <c r="I26" s="91" t="s">
        <v>1110</v>
      </c>
      <c r="J26" s="91" t="s">
        <v>188</v>
      </c>
      <c r="K26" s="123"/>
      <c r="L26" s="349"/>
      <c r="M26" s="123"/>
      <c r="N26" s="123"/>
      <c r="O26" s="123"/>
    </row>
    <row r="27" spans="1:15" s="88" customFormat="1" ht="14">
      <c r="A27" s="219">
        <v>3526</v>
      </c>
      <c r="B27" s="106">
        <v>41362</v>
      </c>
      <c r="C27" s="92" t="s">
        <v>748</v>
      </c>
      <c r="D27" s="105">
        <v>5500</v>
      </c>
      <c r="E27" s="413">
        <f>D27/'12 - Equity Statement'!$K$10</f>
        <v>877.34690296543249</v>
      </c>
      <c r="F27" s="92" t="s">
        <v>603</v>
      </c>
      <c r="G27" s="91" t="s">
        <v>20</v>
      </c>
      <c r="H27" s="356" t="s">
        <v>119</v>
      </c>
      <c r="I27" s="91" t="s">
        <v>1110</v>
      </c>
      <c r="J27" s="92" t="s">
        <v>188</v>
      </c>
      <c r="K27" s="355"/>
      <c r="L27" s="416"/>
    </row>
    <row r="28" spans="1:15" s="88" customFormat="1" ht="14">
      <c r="A28" s="219">
        <v>3591</v>
      </c>
      <c r="B28" s="106">
        <v>41392</v>
      </c>
      <c r="C28" s="92" t="s">
        <v>571</v>
      </c>
      <c r="D28" s="105">
        <v>4200</v>
      </c>
      <c r="E28" s="413">
        <f>D28/'12 - Equity Statement'!$L$10</f>
        <v>672.6565127564503</v>
      </c>
      <c r="F28" s="92" t="s">
        <v>510</v>
      </c>
      <c r="G28" s="91" t="s">
        <v>53</v>
      </c>
      <c r="H28" s="355" t="s">
        <v>1071</v>
      </c>
      <c r="I28" s="91" t="s">
        <v>1109</v>
      </c>
      <c r="J28" s="92" t="s">
        <v>188</v>
      </c>
      <c r="K28" s="356" t="s">
        <v>34</v>
      </c>
      <c r="L28" s="416"/>
    </row>
    <row r="29" spans="1:15" s="88" customFormat="1" ht="14">
      <c r="A29" s="352">
        <v>3773</v>
      </c>
      <c r="B29" s="354">
        <v>41519</v>
      </c>
      <c r="C29" s="257" t="s">
        <v>822</v>
      </c>
      <c r="D29" s="276">
        <v>4200</v>
      </c>
      <c r="E29" s="413">
        <f>D29/6.0121</f>
        <v>698.59117446482924</v>
      </c>
      <c r="F29" s="257" t="s">
        <v>510</v>
      </c>
      <c r="G29" s="91" t="s">
        <v>53</v>
      </c>
      <c r="H29" s="355" t="s">
        <v>1071</v>
      </c>
      <c r="I29" s="91" t="s">
        <v>1109</v>
      </c>
      <c r="J29" s="257" t="s">
        <v>188</v>
      </c>
      <c r="K29" s="356" t="s">
        <v>34</v>
      </c>
      <c r="L29" s="416"/>
    </row>
    <row r="30" spans="1:15" s="88" customFormat="1" ht="14">
      <c r="A30" s="351">
        <v>4010</v>
      </c>
      <c r="B30" s="353">
        <v>41639</v>
      </c>
      <c r="C30" s="264" t="s">
        <v>172</v>
      </c>
      <c r="D30" s="278">
        <v>4200</v>
      </c>
      <c r="E30" s="413">
        <f>D30/6.0058</f>
        <v>699.32398681274765</v>
      </c>
      <c r="F30" s="264" t="s">
        <v>510</v>
      </c>
      <c r="G30" s="91" t="s">
        <v>53</v>
      </c>
      <c r="H30" s="355" t="s">
        <v>1071</v>
      </c>
      <c r="I30" s="268" t="s">
        <v>1109</v>
      </c>
      <c r="J30" s="91" t="s">
        <v>291</v>
      </c>
      <c r="K30" s="356" t="s">
        <v>34</v>
      </c>
      <c r="L30" s="416" t="s">
        <v>402</v>
      </c>
      <c r="M30" s="264" t="s">
        <v>402</v>
      </c>
      <c r="N30" s="351" t="s">
        <v>402</v>
      </c>
    </row>
    <row r="31" spans="1:15" s="88" customFormat="1" ht="14">
      <c r="A31" s="219">
        <v>3442</v>
      </c>
      <c r="B31" s="106">
        <v>41333</v>
      </c>
      <c r="C31" s="92" t="s">
        <v>443</v>
      </c>
      <c r="D31" s="105">
        <v>4200</v>
      </c>
      <c r="E31" s="413">
        <f>D31/'12 - Equity Statement'!$J$10</f>
        <v>669.01352363051342</v>
      </c>
      <c r="F31" s="92" t="s">
        <v>510</v>
      </c>
      <c r="G31" s="91" t="s">
        <v>53</v>
      </c>
      <c r="H31" s="355" t="s">
        <v>1071</v>
      </c>
      <c r="I31" s="91" t="s">
        <v>1109</v>
      </c>
      <c r="J31" s="92" t="s">
        <v>188</v>
      </c>
      <c r="K31" s="356" t="s">
        <v>34</v>
      </c>
      <c r="L31" s="416"/>
    </row>
    <row r="32" spans="1:15" s="88" customFormat="1" ht="14">
      <c r="A32" s="220">
        <v>3364</v>
      </c>
      <c r="B32" s="104">
        <v>41305</v>
      </c>
      <c r="C32" s="91" t="s">
        <v>607</v>
      </c>
      <c r="D32" s="105">
        <v>4200</v>
      </c>
      <c r="E32" s="411">
        <f>D32/'12 - Equity Statement'!$I$10</f>
        <v>675.7843925985519</v>
      </c>
      <c r="F32" s="91" t="s">
        <v>510</v>
      </c>
      <c r="G32" s="91" t="s">
        <v>20</v>
      </c>
      <c r="H32" s="408" t="s">
        <v>123</v>
      </c>
      <c r="I32" s="91" t="s">
        <v>1109</v>
      </c>
      <c r="J32" s="91" t="s">
        <v>188</v>
      </c>
      <c r="K32" s="123"/>
      <c r="L32" s="349"/>
      <c r="M32" s="123"/>
      <c r="N32" s="123"/>
      <c r="O32" s="123"/>
    </row>
    <row r="33" spans="1:15" s="88" customFormat="1" ht="14">
      <c r="A33" s="220">
        <v>3727</v>
      </c>
      <c r="B33" s="104">
        <v>41486</v>
      </c>
      <c r="C33" s="91" t="s">
        <v>235</v>
      </c>
      <c r="D33" s="105">
        <v>4200</v>
      </c>
      <c r="E33" s="413">
        <f>D33/6.0506</f>
        <v>694.14603510395659</v>
      </c>
      <c r="F33" s="91" t="s">
        <v>510</v>
      </c>
      <c r="G33" s="91" t="s">
        <v>53</v>
      </c>
      <c r="H33" s="355" t="s">
        <v>1071</v>
      </c>
      <c r="I33" s="91" t="s">
        <v>1109</v>
      </c>
      <c r="J33" s="91" t="s">
        <v>291</v>
      </c>
      <c r="K33" s="356" t="s">
        <v>34</v>
      </c>
      <c r="L33" s="416"/>
    </row>
    <row r="34" spans="1:15" s="88" customFormat="1" ht="14">
      <c r="A34" s="219">
        <v>3521</v>
      </c>
      <c r="B34" s="106">
        <v>41362</v>
      </c>
      <c r="C34" s="92" t="s">
        <v>850</v>
      </c>
      <c r="D34" s="105">
        <v>4200</v>
      </c>
      <c r="E34" s="413">
        <f>D34/'12 - Equity Statement'!$K$10</f>
        <v>669.97399862814848</v>
      </c>
      <c r="F34" s="92" t="s">
        <v>510</v>
      </c>
      <c r="G34" s="91" t="s">
        <v>53</v>
      </c>
      <c r="H34" s="355" t="s">
        <v>1071</v>
      </c>
      <c r="I34" s="91" t="s">
        <v>1109</v>
      </c>
      <c r="J34" s="92" t="s">
        <v>188</v>
      </c>
      <c r="K34" s="356" t="s">
        <v>34</v>
      </c>
      <c r="L34" s="416"/>
    </row>
    <row r="35" spans="1:15" s="88" customFormat="1" ht="14">
      <c r="A35" s="219">
        <v>3632</v>
      </c>
      <c r="B35" s="106">
        <v>41425</v>
      </c>
      <c r="C35" s="92" t="s">
        <v>688</v>
      </c>
      <c r="D35" s="105">
        <v>4200</v>
      </c>
      <c r="E35" s="413">
        <f>D35/'12 - Equity Statement'!$M$10</f>
        <v>686.4315366260256</v>
      </c>
      <c r="F35" s="92" t="s">
        <v>375</v>
      </c>
      <c r="G35" s="91" t="s">
        <v>53</v>
      </c>
      <c r="H35" s="355" t="s">
        <v>1071</v>
      </c>
      <c r="I35" s="91" t="s">
        <v>1109</v>
      </c>
      <c r="J35" s="92" t="s">
        <v>188</v>
      </c>
      <c r="K35" s="356" t="s">
        <v>34</v>
      </c>
      <c r="L35" s="416"/>
    </row>
    <row r="36" spans="1:15" s="88" customFormat="1" ht="14">
      <c r="A36" s="260">
        <v>3951</v>
      </c>
      <c r="B36" s="265">
        <v>41608</v>
      </c>
      <c r="C36" s="259" t="s">
        <v>973</v>
      </c>
      <c r="D36" s="262">
        <v>4200</v>
      </c>
      <c r="E36" s="413">
        <f>D36/6.0045</f>
        <v>699.47539345490884</v>
      </c>
      <c r="F36" s="259" t="s">
        <v>510</v>
      </c>
      <c r="G36" s="91" t="s">
        <v>53</v>
      </c>
      <c r="H36" s="355" t="s">
        <v>1071</v>
      </c>
      <c r="I36" s="268" t="s">
        <v>1109</v>
      </c>
      <c r="J36" s="91" t="s">
        <v>291</v>
      </c>
      <c r="K36" s="356" t="s">
        <v>34</v>
      </c>
      <c r="L36" s="416" t="s">
        <v>402</v>
      </c>
      <c r="M36" s="259" t="s">
        <v>402</v>
      </c>
      <c r="N36" s="260" t="s">
        <v>402</v>
      </c>
      <c r="O36" s="218"/>
    </row>
    <row r="37" spans="1:15" s="88" customFormat="1" ht="14">
      <c r="A37" s="352">
        <v>3893</v>
      </c>
      <c r="B37" s="354">
        <v>41578</v>
      </c>
      <c r="C37" s="257" t="s">
        <v>982</v>
      </c>
      <c r="D37" s="276">
        <v>4200</v>
      </c>
      <c r="E37" s="413">
        <f>D37/6.0043</f>
        <v>699.49869260363414</v>
      </c>
      <c r="F37" s="257" t="s">
        <v>510</v>
      </c>
      <c r="G37" s="91" t="s">
        <v>53</v>
      </c>
      <c r="H37" s="355" t="s">
        <v>1071</v>
      </c>
      <c r="I37" s="268" t="s">
        <v>1109</v>
      </c>
      <c r="J37" s="257" t="s">
        <v>188</v>
      </c>
      <c r="K37" s="356" t="s">
        <v>34</v>
      </c>
      <c r="L37" s="416"/>
    </row>
    <row r="38" spans="1:15" s="88" customFormat="1" ht="14">
      <c r="A38" s="352">
        <v>3800</v>
      </c>
      <c r="B38" s="354">
        <v>41545</v>
      </c>
      <c r="C38" s="257" t="s">
        <v>932</v>
      </c>
      <c r="D38" s="276">
        <v>4200</v>
      </c>
      <c r="E38" s="413">
        <f>D38/6.0121</f>
        <v>698.59117446482924</v>
      </c>
      <c r="F38" s="257" t="s">
        <v>510</v>
      </c>
      <c r="G38" s="91" t="s">
        <v>53</v>
      </c>
      <c r="H38" s="355" t="s">
        <v>1071</v>
      </c>
      <c r="I38" s="91" t="s">
        <v>1109</v>
      </c>
      <c r="J38" s="257" t="s">
        <v>832</v>
      </c>
      <c r="K38" s="356" t="s">
        <v>34</v>
      </c>
      <c r="L38" s="416"/>
    </row>
    <row r="39" spans="1:15" s="88" customFormat="1" ht="14">
      <c r="A39" s="352">
        <v>3781</v>
      </c>
      <c r="B39" s="354">
        <v>41515</v>
      </c>
      <c r="C39" s="257" t="s">
        <v>808</v>
      </c>
      <c r="D39" s="276">
        <v>1143</v>
      </c>
      <c r="E39" s="413">
        <f>D39/6.0406</f>
        <v>189.21961394563453</v>
      </c>
      <c r="F39" s="257" t="s">
        <v>409</v>
      </c>
      <c r="G39" s="91" t="s">
        <v>52</v>
      </c>
      <c r="H39" s="355" t="s">
        <v>1071</v>
      </c>
      <c r="I39" s="91" t="s">
        <v>1109</v>
      </c>
      <c r="J39" s="257" t="s">
        <v>832</v>
      </c>
      <c r="K39" s="356" t="s">
        <v>29</v>
      </c>
      <c r="L39" s="416"/>
    </row>
    <row r="40" spans="1:15" s="88" customFormat="1" ht="14">
      <c r="A40" s="219">
        <v>3559</v>
      </c>
      <c r="B40" s="106">
        <v>41373</v>
      </c>
      <c r="C40" s="92" t="s">
        <v>419</v>
      </c>
      <c r="D40" s="105">
        <v>480</v>
      </c>
      <c r="E40" s="413">
        <f>D40/'12 - Equity Statement'!$L$10</f>
        <v>76.875030029308604</v>
      </c>
      <c r="F40" s="92" t="s">
        <v>409</v>
      </c>
      <c r="G40" s="91" t="s">
        <v>52</v>
      </c>
      <c r="H40" s="356" t="s">
        <v>119</v>
      </c>
      <c r="I40" s="91" t="s">
        <v>1109</v>
      </c>
      <c r="J40" s="92" t="s">
        <v>292</v>
      </c>
      <c r="K40" s="355"/>
      <c r="L40" s="416"/>
    </row>
    <row r="41" spans="1:15" s="88" customFormat="1" ht="14">
      <c r="A41" s="352">
        <v>3780</v>
      </c>
      <c r="B41" s="354">
        <v>41499</v>
      </c>
      <c r="C41" s="257" t="s">
        <v>902</v>
      </c>
      <c r="D41" s="276">
        <v>480</v>
      </c>
      <c r="E41" s="413">
        <f>D41/6.0406</f>
        <v>79.462305069032865</v>
      </c>
      <c r="F41" s="257" t="s">
        <v>270</v>
      </c>
      <c r="G41" s="91" t="s">
        <v>52</v>
      </c>
      <c r="H41" s="355" t="s">
        <v>1071</v>
      </c>
      <c r="I41" s="91" t="s">
        <v>1109</v>
      </c>
      <c r="J41" s="257" t="s">
        <v>832</v>
      </c>
      <c r="K41" s="355" t="s">
        <v>32</v>
      </c>
      <c r="L41" s="416"/>
    </row>
    <row r="42" spans="1:15" s="88" customFormat="1" ht="14">
      <c r="A42" s="351">
        <v>4018</v>
      </c>
      <c r="B42" s="353">
        <v>41619</v>
      </c>
      <c r="C42" s="264" t="s">
        <v>141</v>
      </c>
      <c r="D42" s="278">
        <v>480</v>
      </c>
      <c r="E42" s="413">
        <f>D42/6.0058</f>
        <v>79.922741350028303</v>
      </c>
      <c r="F42" s="264" t="s">
        <v>270</v>
      </c>
      <c r="G42" s="91" t="s">
        <v>52</v>
      </c>
      <c r="H42" s="355" t="s">
        <v>118</v>
      </c>
      <c r="I42" s="268" t="s">
        <v>1109</v>
      </c>
      <c r="J42" s="264" t="s">
        <v>832</v>
      </c>
      <c r="K42" s="355" t="s">
        <v>24</v>
      </c>
      <c r="L42" s="416" t="s">
        <v>402</v>
      </c>
      <c r="M42" s="264" t="s">
        <v>402</v>
      </c>
      <c r="N42" s="351" t="s">
        <v>402</v>
      </c>
    </row>
    <row r="43" spans="1:15" s="88" customFormat="1" ht="14">
      <c r="A43" s="219">
        <v>3451</v>
      </c>
      <c r="B43" s="106">
        <v>41322</v>
      </c>
      <c r="C43" s="92" t="s">
        <v>421</v>
      </c>
      <c r="D43" s="105">
        <v>480</v>
      </c>
      <c r="E43" s="413">
        <f>D43/'12 - Equity Statement'!$J$10</f>
        <v>76.458688414915812</v>
      </c>
      <c r="F43" s="92" t="s">
        <v>409</v>
      </c>
      <c r="G43" s="91" t="s">
        <v>52</v>
      </c>
      <c r="H43" s="356" t="s">
        <v>119</v>
      </c>
      <c r="I43" s="91" t="s">
        <v>1109</v>
      </c>
      <c r="J43" s="92" t="s">
        <v>292</v>
      </c>
      <c r="K43" s="355"/>
      <c r="L43" s="416"/>
    </row>
    <row r="44" spans="1:15" s="88" customFormat="1" ht="14">
      <c r="A44" s="220">
        <v>3390</v>
      </c>
      <c r="B44" s="104">
        <v>41285</v>
      </c>
      <c r="C44" s="91" t="s">
        <v>556</v>
      </c>
      <c r="D44" s="105">
        <v>480</v>
      </c>
      <c r="E44" s="411">
        <f>D44/'12 - Equity Statement'!$I$10</f>
        <v>77.23250201126308</v>
      </c>
      <c r="F44" s="91" t="s">
        <v>270</v>
      </c>
      <c r="G44" s="91" t="s">
        <v>19</v>
      </c>
      <c r="H44" s="355" t="s">
        <v>118</v>
      </c>
      <c r="I44" s="91" t="s">
        <v>1109</v>
      </c>
      <c r="J44" s="91" t="s">
        <v>292</v>
      </c>
      <c r="K44" s="123"/>
      <c r="L44" s="349"/>
      <c r="M44" s="123"/>
      <c r="N44" s="123"/>
      <c r="O44" s="123"/>
    </row>
    <row r="45" spans="1:15" s="88" customFormat="1" ht="14">
      <c r="A45" s="220">
        <v>3724</v>
      </c>
      <c r="B45" s="104">
        <v>41481</v>
      </c>
      <c r="C45" s="91" t="s">
        <v>223</v>
      </c>
      <c r="D45" s="105">
        <v>480</v>
      </c>
      <c r="E45" s="413">
        <f>D45/6.0506</f>
        <v>79.330975440452178</v>
      </c>
      <c r="F45" s="91" t="s">
        <v>270</v>
      </c>
      <c r="G45" s="91" t="s">
        <v>52</v>
      </c>
      <c r="H45" s="355" t="s">
        <v>118</v>
      </c>
      <c r="I45" s="91" t="s">
        <v>1109</v>
      </c>
      <c r="J45" s="91" t="s">
        <v>292</v>
      </c>
      <c r="K45" s="355" t="s">
        <v>24</v>
      </c>
      <c r="L45" s="416"/>
    </row>
    <row r="46" spans="1:15" s="88" customFormat="1" ht="14">
      <c r="A46" s="219">
        <v>3659</v>
      </c>
      <c r="B46" s="106">
        <v>41439</v>
      </c>
      <c r="C46" s="92" t="s">
        <v>269</v>
      </c>
      <c r="D46" s="105">
        <v>480</v>
      </c>
      <c r="E46" s="413">
        <f>D46/'12 - Equity Statement'!$N$10</f>
        <v>79.306071871127628</v>
      </c>
      <c r="F46" s="92" t="s">
        <v>270</v>
      </c>
      <c r="G46" s="91" t="s">
        <v>52</v>
      </c>
      <c r="H46" s="355" t="s">
        <v>1071</v>
      </c>
      <c r="I46" s="91" t="s">
        <v>1109</v>
      </c>
      <c r="J46" s="92" t="s">
        <v>292</v>
      </c>
      <c r="K46" s="355" t="s">
        <v>32</v>
      </c>
      <c r="L46" s="416"/>
    </row>
    <row r="47" spans="1:15" s="88" customFormat="1" ht="14">
      <c r="A47" s="219">
        <v>3492</v>
      </c>
      <c r="B47" s="106">
        <v>41345</v>
      </c>
      <c r="C47" s="92" t="s">
        <v>676</v>
      </c>
      <c r="D47" s="105">
        <v>480</v>
      </c>
      <c r="E47" s="413">
        <f>D47/'12 - Equity Statement'!$K$10</f>
        <v>76.568456986074111</v>
      </c>
      <c r="F47" s="92" t="s">
        <v>409</v>
      </c>
      <c r="G47" s="91" t="s">
        <v>52</v>
      </c>
      <c r="H47" s="356" t="s">
        <v>119</v>
      </c>
      <c r="I47" s="91" t="s">
        <v>1109</v>
      </c>
      <c r="J47" s="92" t="s">
        <v>292</v>
      </c>
      <c r="K47" s="355"/>
      <c r="L47" s="416"/>
    </row>
    <row r="48" spans="1:15" s="88" customFormat="1" ht="14">
      <c r="A48" s="219">
        <v>3616</v>
      </c>
      <c r="B48" s="106">
        <v>41405</v>
      </c>
      <c r="C48" s="92" t="s">
        <v>702</v>
      </c>
      <c r="D48" s="105">
        <v>480</v>
      </c>
      <c r="E48" s="413">
        <f>D48/'12 - Equity Statement'!$M$10</f>
        <v>78.44931847154578</v>
      </c>
      <c r="F48" s="92" t="s">
        <v>409</v>
      </c>
      <c r="G48" s="91" t="s">
        <v>52</v>
      </c>
      <c r="H48" s="356" t="s">
        <v>119</v>
      </c>
      <c r="I48" s="91" t="s">
        <v>1109</v>
      </c>
      <c r="J48" s="92" t="s">
        <v>292</v>
      </c>
      <c r="K48" s="355"/>
      <c r="L48" s="416"/>
    </row>
    <row r="49" spans="1:15" s="88" customFormat="1" ht="14">
      <c r="A49" s="260">
        <v>3955</v>
      </c>
      <c r="B49" s="265">
        <v>41590</v>
      </c>
      <c r="C49" s="259" t="s">
        <v>923</v>
      </c>
      <c r="D49" s="262">
        <v>480</v>
      </c>
      <c r="E49" s="413">
        <f>D49/6.0045</f>
        <v>79.940044966275295</v>
      </c>
      <c r="F49" s="259" t="s">
        <v>270</v>
      </c>
      <c r="G49" s="91" t="s">
        <v>52</v>
      </c>
      <c r="H49" s="355" t="s">
        <v>118</v>
      </c>
      <c r="I49" s="268" t="s">
        <v>1109</v>
      </c>
      <c r="J49" s="259" t="s">
        <v>832</v>
      </c>
      <c r="K49" s="355" t="s">
        <v>24</v>
      </c>
      <c r="L49" s="416" t="s">
        <v>402</v>
      </c>
      <c r="M49" s="259" t="s">
        <v>402</v>
      </c>
      <c r="N49" s="260" t="s">
        <v>402</v>
      </c>
      <c r="O49" s="218"/>
    </row>
    <row r="50" spans="1:15" s="88" customFormat="1" ht="14">
      <c r="A50" s="352">
        <v>3936</v>
      </c>
      <c r="B50" s="354">
        <v>41569</v>
      </c>
      <c r="C50" s="257" t="s">
        <v>869</v>
      </c>
      <c r="D50" s="276">
        <v>480</v>
      </c>
      <c r="E50" s="413">
        <f>D50/6.0043</f>
        <v>79.942707726129612</v>
      </c>
      <c r="F50" s="257" t="s">
        <v>270</v>
      </c>
      <c r="G50" s="91" t="s">
        <v>52</v>
      </c>
      <c r="H50" s="355" t="s">
        <v>118</v>
      </c>
      <c r="I50" s="268" t="s">
        <v>1109</v>
      </c>
      <c r="J50" s="268" t="s">
        <v>832</v>
      </c>
      <c r="K50" s="355" t="s">
        <v>24</v>
      </c>
      <c r="L50" s="416"/>
    </row>
    <row r="51" spans="1:15" s="88" customFormat="1" ht="14">
      <c r="A51" s="352">
        <v>3806</v>
      </c>
      <c r="B51" s="354">
        <v>41528</v>
      </c>
      <c r="C51" s="257" t="s">
        <v>948</v>
      </c>
      <c r="D51" s="276">
        <v>480</v>
      </c>
      <c r="E51" s="413">
        <f>D51/6.0121</f>
        <v>79.838991367409051</v>
      </c>
      <c r="F51" s="257" t="s">
        <v>270</v>
      </c>
      <c r="G51" s="91" t="s">
        <v>52</v>
      </c>
      <c r="H51" s="355" t="s">
        <v>118</v>
      </c>
      <c r="I51" s="91" t="s">
        <v>1109</v>
      </c>
      <c r="J51" s="257" t="s">
        <v>832</v>
      </c>
      <c r="K51" s="355" t="s">
        <v>24</v>
      </c>
      <c r="L51" s="416"/>
    </row>
    <row r="52" spans="1:15" s="88" customFormat="1" ht="14">
      <c r="A52" s="219">
        <v>3560</v>
      </c>
      <c r="B52" s="106">
        <v>41373</v>
      </c>
      <c r="C52" s="92" t="s">
        <v>429</v>
      </c>
      <c r="D52" s="105">
        <v>480</v>
      </c>
      <c r="E52" s="413">
        <f>D52/'12 - Equity Statement'!$L$10</f>
        <v>76.875030029308604</v>
      </c>
      <c r="F52" s="92" t="s">
        <v>409</v>
      </c>
      <c r="G52" s="91" t="s">
        <v>52</v>
      </c>
      <c r="H52" s="355" t="s">
        <v>1071</v>
      </c>
      <c r="I52" s="91" t="s">
        <v>1109</v>
      </c>
      <c r="J52" s="92" t="s">
        <v>292</v>
      </c>
      <c r="K52" s="356" t="s">
        <v>29</v>
      </c>
      <c r="L52" s="416"/>
    </row>
    <row r="53" spans="1:15" s="88" customFormat="1" ht="14">
      <c r="A53" s="352">
        <v>3779</v>
      </c>
      <c r="B53" s="354">
        <v>41499</v>
      </c>
      <c r="C53" s="257" t="s">
        <v>903</v>
      </c>
      <c r="D53" s="276">
        <v>480</v>
      </c>
      <c r="E53" s="413">
        <f>D53/6.0406</f>
        <v>79.462305069032865</v>
      </c>
      <c r="F53" s="257" t="s">
        <v>270</v>
      </c>
      <c r="G53" s="91" t="s">
        <v>52</v>
      </c>
      <c r="H53" s="355" t="s">
        <v>1071</v>
      </c>
      <c r="I53" s="91" t="s">
        <v>1109</v>
      </c>
      <c r="J53" s="257" t="s">
        <v>832</v>
      </c>
      <c r="K53" s="356" t="s">
        <v>29</v>
      </c>
      <c r="L53" s="416"/>
    </row>
    <row r="54" spans="1:15" s="88" customFormat="1" ht="14">
      <c r="A54" s="351">
        <v>4017</v>
      </c>
      <c r="B54" s="353">
        <v>41619</v>
      </c>
      <c r="C54" s="264" t="s">
        <v>142</v>
      </c>
      <c r="D54" s="278">
        <v>480</v>
      </c>
      <c r="E54" s="413">
        <f>D54/6.0058</f>
        <v>79.922741350028303</v>
      </c>
      <c r="F54" s="264" t="s">
        <v>270</v>
      </c>
      <c r="G54" s="91" t="s">
        <v>52</v>
      </c>
      <c r="H54" s="355" t="s">
        <v>1071</v>
      </c>
      <c r="I54" s="268" t="s">
        <v>1109</v>
      </c>
      <c r="J54" s="264" t="s">
        <v>832</v>
      </c>
      <c r="K54" s="356" t="s">
        <v>29</v>
      </c>
      <c r="L54" s="416" t="s">
        <v>402</v>
      </c>
      <c r="M54" s="264" t="s">
        <v>402</v>
      </c>
      <c r="N54" s="351" t="s">
        <v>402</v>
      </c>
    </row>
    <row r="55" spans="1:15" s="88" customFormat="1" ht="14">
      <c r="A55" s="219">
        <v>3452</v>
      </c>
      <c r="B55" s="106">
        <v>41322</v>
      </c>
      <c r="C55" s="92" t="s">
        <v>422</v>
      </c>
      <c r="D55" s="105">
        <v>480</v>
      </c>
      <c r="E55" s="413">
        <f>D55/'12 - Equity Statement'!$J$10</f>
        <v>76.458688414915812</v>
      </c>
      <c r="F55" s="92" t="s">
        <v>409</v>
      </c>
      <c r="G55" s="91" t="s">
        <v>52</v>
      </c>
      <c r="H55" s="355" t="s">
        <v>1071</v>
      </c>
      <c r="I55" s="91" t="s">
        <v>1109</v>
      </c>
      <c r="J55" s="92" t="s">
        <v>292</v>
      </c>
      <c r="K55" s="356" t="s">
        <v>29</v>
      </c>
      <c r="L55" s="416"/>
    </row>
    <row r="56" spans="1:15" s="88" customFormat="1" ht="14">
      <c r="A56" s="220">
        <v>3391</v>
      </c>
      <c r="B56" s="104">
        <v>41285</v>
      </c>
      <c r="C56" s="91" t="s">
        <v>444</v>
      </c>
      <c r="D56" s="105">
        <v>480</v>
      </c>
      <c r="E56" s="411">
        <f>D56/'12 - Equity Statement'!$I$10</f>
        <v>77.23250201126308</v>
      </c>
      <c r="F56" s="91" t="s">
        <v>270</v>
      </c>
      <c r="G56" s="91" t="s">
        <v>19</v>
      </c>
      <c r="H56" s="408" t="s">
        <v>123</v>
      </c>
      <c r="I56" s="91" t="s">
        <v>1109</v>
      </c>
      <c r="J56" s="91" t="s">
        <v>292</v>
      </c>
      <c r="K56" s="123"/>
      <c r="L56" s="349"/>
      <c r="M56" s="123"/>
      <c r="N56" s="123"/>
      <c r="O56" s="123"/>
    </row>
    <row r="57" spans="1:15" s="88" customFormat="1" ht="14">
      <c r="A57" s="220">
        <v>3725</v>
      </c>
      <c r="B57" s="104">
        <v>41481</v>
      </c>
      <c r="C57" s="91" t="s">
        <v>224</v>
      </c>
      <c r="D57" s="105">
        <v>480</v>
      </c>
      <c r="E57" s="413">
        <f>D57/6.0506</f>
        <v>79.330975440452178</v>
      </c>
      <c r="F57" s="91" t="s">
        <v>270</v>
      </c>
      <c r="G57" s="91" t="s">
        <v>52</v>
      </c>
      <c r="H57" s="355" t="s">
        <v>1071</v>
      </c>
      <c r="I57" s="91" t="s">
        <v>1109</v>
      </c>
      <c r="J57" s="91" t="s">
        <v>292</v>
      </c>
      <c r="K57" s="356" t="s">
        <v>29</v>
      </c>
      <c r="L57" s="416"/>
    </row>
    <row r="58" spans="1:15" s="88" customFormat="1" ht="14">
      <c r="A58" s="219">
        <v>3660</v>
      </c>
      <c r="B58" s="106">
        <v>41439</v>
      </c>
      <c r="C58" s="92" t="s">
        <v>369</v>
      </c>
      <c r="D58" s="105">
        <v>480</v>
      </c>
      <c r="E58" s="413">
        <f>D58/'12 - Equity Statement'!$N$10</f>
        <v>79.306071871127628</v>
      </c>
      <c r="F58" s="92" t="s">
        <v>270</v>
      </c>
      <c r="G58" s="91" t="s">
        <v>52</v>
      </c>
      <c r="H58" s="355" t="s">
        <v>1071</v>
      </c>
      <c r="I58" s="91" t="s">
        <v>1109</v>
      </c>
      <c r="J58" s="92" t="s">
        <v>292</v>
      </c>
      <c r="K58" s="356" t="s">
        <v>29</v>
      </c>
      <c r="L58" s="416"/>
    </row>
    <row r="59" spans="1:15" s="88" customFormat="1" ht="14">
      <c r="A59" s="219">
        <v>3493</v>
      </c>
      <c r="B59" s="106">
        <v>41345</v>
      </c>
      <c r="C59" s="92" t="s">
        <v>677</v>
      </c>
      <c r="D59" s="105">
        <v>480</v>
      </c>
      <c r="E59" s="413">
        <f>D59/'12 - Equity Statement'!$K$10</f>
        <v>76.568456986074111</v>
      </c>
      <c r="F59" s="92" t="s">
        <v>409</v>
      </c>
      <c r="G59" s="91" t="s">
        <v>52</v>
      </c>
      <c r="H59" s="355" t="s">
        <v>1071</v>
      </c>
      <c r="I59" s="91" t="s">
        <v>1109</v>
      </c>
      <c r="J59" s="92" t="s">
        <v>292</v>
      </c>
      <c r="K59" s="356" t="s">
        <v>29</v>
      </c>
      <c r="L59" s="416"/>
    </row>
    <row r="60" spans="1:15" s="88" customFormat="1" ht="14">
      <c r="A60" s="219">
        <v>3617</v>
      </c>
      <c r="B60" s="106">
        <v>41405</v>
      </c>
      <c r="C60" s="92" t="s">
        <v>377</v>
      </c>
      <c r="D60" s="105">
        <v>480</v>
      </c>
      <c r="E60" s="413">
        <f>D60/'12 - Equity Statement'!$M$10</f>
        <v>78.44931847154578</v>
      </c>
      <c r="F60" s="92" t="s">
        <v>409</v>
      </c>
      <c r="G60" s="91" t="s">
        <v>52</v>
      </c>
      <c r="H60" s="355" t="s">
        <v>1071</v>
      </c>
      <c r="I60" s="91" t="s">
        <v>1109</v>
      </c>
      <c r="J60" s="92" t="s">
        <v>292</v>
      </c>
      <c r="K60" s="356" t="s">
        <v>29</v>
      </c>
      <c r="L60" s="416"/>
    </row>
    <row r="61" spans="1:15" s="88" customFormat="1" ht="14">
      <c r="A61" s="260">
        <v>3956</v>
      </c>
      <c r="B61" s="265">
        <v>41590</v>
      </c>
      <c r="C61" s="259" t="s">
        <v>922</v>
      </c>
      <c r="D61" s="262">
        <v>480</v>
      </c>
      <c r="E61" s="413">
        <f>D61/6.0045</f>
        <v>79.940044966275295</v>
      </c>
      <c r="F61" s="259" t="s">
        <v>270</v>
      </c>
      <c r="G61" s="91" t="s">
        <v>52</v>
      </c>
      <c r="H61" s="355" t="s">
        <v>1071</v>
      </c>
      <c r="I61" s="268" t="s">
        <v>1109</v>
      </c>
      <c r="J61" s="259" t="s">
        <v>832</v>
      </c>
      <c r="K61" s="356" t="s">
        <v>29</v>
      </c>
      <c r="L61" s="416" t="s">
        <v>402</v>
      </c>
      <c r="M61" s="259" t="s">
        <v>402</v>
      </c>
      <c r="N61" s="260" t="s">
        <v>402</v>
      </c>
      <c r="O61" s="218"/>
    </row>
    <row r="62" spans="1:15" s="88" customFormat="1" ht="14">
      <c r="A62" s="352">
        <v>3935</v>
      </c>
      <c r="B62" s="354">
        <v>41569</v>
      </c>
      <c r="C62" s="257" t="s">
        <v>870</v>
      </c>
      <c r="D62" s="276">
        <v>480</v>
      </c>
      <c r="E62" s="413">
        <f>D62/6.0043</f>
        <v>79.942707726129612</v>
      </c>
      <c r="F62" s="257" t="s">
        <v>270</v>
      </c>
      <c r="G62" s="91" t="s">
        <v>52</v>
      </c>
      <c r="H62" s="355" t="s">
        <v>1071</v>
      </c>
      <c r="I62" s="268" t="s">
        <v>1109</v>
      </c>
      <c r="J62" s="268" t="s">
        <v>832</v>
      </c>
      <c r="K62" s="356" t="s">
        <v>29</v>
      </c>
      <c r="L62" s="416"/>
    </row>
    <row r="63" spans="1:15" s="88" customFormat="1" ht="14">
      <c r="A63" s="352">
        <v>3807</v>
      </c>
      <c r="B63" s="354">
        <v>41528</v>
      </c>
      <c r="C63" s="257" t="s">
        <v>947</v>
      </c>
      <c r="D63" s="276">
        <v>480</v>
      </c>
      <c r="E63" s="413">
        <f>D63/6.0121</f>
        <v>79.838991367409051</v>
      </c>
      <c r="F63" s="257" t="s">
        <v>270</v>
      </c>
      <c r="G63" s="91" t="s">
        <v>52</v>
      </c>
      <c r="H63" s="355" t="s">
        <v>1071</v>
      </c>
      <c r="I63" s="91" t="s">
        <v>1109</v>
      </c>
      <c r="J63" s="257" t="s">
        <v>832</v>
      </c>
      <c r="K63" s="356" t="s">
        <v>32</v>
      </c>
      <c r="L63" s="416"/>
    </row>
    <row r="64" spans="1:15" s="88" customFormat="1" ht="14">
      <c r="A64" s="260">
        <v>3927</v>
      </c>
      <c r="B64" s="265">
        <v>41583</v>
      </c>
      <c r="C64" s="259" t="s">
        <v>916</v>
      </c>
      <c r="D64" s="262">
        <v>3098.49</v>
      </c>
      <c r="E64" s="413">
        <f>D64/6.0045</f>
        <v>516.0279790157382</v>
      </c>
      <c r="F64" s="259" t="s">
        <v>603</v>
      </c>
      <c r="G64" s="91" t="s">
        <v>52</v>
      </c>
      <c r="H64" s="355" t="s">
        <v>118</v>
      </c>
      <c r="I64" s="91" t="s">
        <v>1110</v>
      </c>
      <c r="J64" s="91" t="s">
        <v>291</v>
      </c>
      <c r="K64" s="355" t="s">
        <v>25</v>
      </c>
      <c r="L64" s="416" t="s">
        <v>402</v>
      </c>
      <c r="M64" s="259" t="s">
        <v>402</v>
      </c>
      <c r="N64" s="260" t="s">
        <v>402</v>
      </c>
    </row>
    <row r="65" spans="1:15" s="88" customFormat="1" ht="14">
      <c r="A65" s="219">
        <v>3656</v>
      </c>
      <c r="B65" s="106">
        <v>41453</v>
      </c>
      <c r="C65" s="92" t="s">
        <v>506</v>
      </c>
      <c r="D65" s="105">
        <v>4200</v>
      </c>
      <c r="E65" s="413">
        <f>D65/'12 - Equity Statement'!$N$10</f>
        <v>693.92812887236676</v>
      </c>
      <c r="F65" s="92" t="s">
        <v>510</v>
      </c>
      <c r="G65" s="91" t="s">
        <v>52</v>
      </c>
      <c r="H65" s="355" t="s">
        <v>1071</v>
      </c>
      <c r="I65" s="91" t="s">
        <v>1109</v>
      </c>
      <c r="J65" s="92" t="s">
        <v>188</v>
      </c>
      <c r="K65" s="356" t="s">
        <v>34</v>
      </c>
      <c r="L65" s="416"/>
    </row>
    <row r="66" spans="1:15" s="88" customFormat="1" ht="14">
      <c r="A66" s="351">
        <v>4015</v>
      </c>
      <c r="B66" s="353">
        <v>41612</v>
      </c>
      <c r="C66" s="264" t="s">
        <v>230</v>
      </c>
      <c r="D66" s="278">
        <v>2096.4299999999998</v>
      </c>
      <c r="E66" s="413">
        <f>D66/6.0058</f>
        <v>349.06756801758297</v>
      </c>
      <c r="F66" s="264" t="s">
        <v>409</v>
      </c>
      <c r="G66" s="91" t="s">
        <v>52</v>
      </c>
      <c r="H66" s="355" t="s">
        <v>118</v>
      </c>
      <c r="I66" s="268" t="s">
        <v>1109</v>
      </c>
      <c r="J66" s="264" t="s">
        <v>832</v>
      </c>
      <c r="K66" s="355" t="s">
        <v>24</v>
      </c>
      <c r="L66" s="416" t="s">
        <v>402</v>
      </c>
      <c r="M66" s="264" t="s">
        <v>402</v>
      </c>
      <c r="N66" s="351" t="s">
        <v>402</v>
      </c>
    </row>
    <row r="67" spans="1:15" s="88" customFormat="1" ht="14">
      <c r="A67" s="219">
        <v>3613</v>
      </c>
      <c r="B67" s="106">
        <v>41400</v>
      </c>
      <c r="C67" s="92" t="s">
        <v>467</v>
      </c>
      <c r="D67" s="105">
        <v>1988.32</v>
      </c>
      <c r="E67" s="413">
        <f>D67/'12 - Equity Statement'!$M$10</f>
        <v>324.96322688196648</v>
      </c>
      <c r="F67" s="92" t="s">
        <v>409</v>
      </c>
      <c r="G67" s="91" t="s">
        <v>52</v>
      </c>
      <c r="H67" s="356" t="s">
        <v>119</v>
      </c>
      <c r="I67" s="91" t="s">
        <v>1109</v>
      </c>
      <c r="J67" s="92" t="s">
        <v>292</v>
      </c>
      <c r="K67" s="355"/>
      <c r="L67" s="416"/>
    </row>
    <row r="68" spans="1:15" s="88" customFormat="1" ht="14">
      <c r="A68" s="352">
        <v>3802</v>
      </c>
      <c r="B68" s="354">
        <v>41521</v>
      </c>
      <c r="C68" s="257" t="s">
        <v>831</v>
      </c>
      <c r="D68" s="276">
        <v>2096.4299999999998</v>
      </c>
      <c r="E68" s="413">
        <f>D68/6.0121</f>
        <v>348.70178473411949</v>
      </c>
      <c r="F68" s="257" t="s">
        <v>409</v>
      </c>
      <c r="G68" s="91" t="s">
        <v>52</v>
      </c>
      <c r="H68" s="355" t="s">
        <v>118</v>
      </c>
      <c r="I68" s="91" t="s">
        <v>1109</v>
      </c>
      <c r="J68" s="257" t="s">
        <v>832</v>
      </c>
      <c r="K68" s="355" t="s">
        <v>24</v>
      </c>
      <c r="L68" s="416"/>
    </row>
    <row r="69" spans="1:15" s="88" customFormat="1" ht="14">
      <c r="A69" s="219">
        <v>3458</v>
      </c>
      <c r="B69" s="106">
        <v>41338</v>
      </c>
      <c r="C69" s="92" t="s">
        <v>671</v>
      </c>
      <c r="D69" s="105">
        <v>1988.32</v>
      </c>
      <c r="E69" s="413">
        <f>D69/'12 - Equity Statement'!$K$10</f>
        <v>317.17207165531431</v>
      </c>
      <c r="F69" s="92" t="s">
        <v>409</v>
      </c>
      <c r="G69" s="91" t="s">
        <v>52</v>
      </c>
      <c r="H69" s="356" t="s">
        <v>119</v>
      </c>
      <c r="I69" s="91" t="s">
        <v>1109</v>
      </c>
      <c r="J69" s="92" t="s">
        <v>292</v>
      </c>
      <c r="K69" s="355"/>
      <c r="L69" s="416"/>
    </row>
    <row r="70" spans="1:15" s="88" customFormat="1" ht="14">
      <c r="A70" s="352">
        <v>3776</v>
      </c>
      <c r="B70" s="354">
        <v>41492</v>
      </c>
      <c r="C70" s="257" t="s">
        <v>899</v>
      </c>
      <c r="D70" s="276">
        <v>2096.4299999999998</v>
      </c>
      <c r="E70" s="413">
        <f>D70/6.0406</f>
        <v>347.05658378306788</v>
      </c>
      <c r="F70" s="257" t="s">
        <v>409</v>
      </c>
      <c r="G70" s="91" t="s">
        <v>52</v>
      </c>
      <c r="H70" s="355" t="s">
        <v>118</v>
      </c>
      <c r="I70" s="91" t="s">
        <v>1109</v>
      </c>
      <c r="J70" s="257" t="s">
        <v>832</v>
      </c>
      <c r="K70" s="355" t="s">
        <v>24</v>
      </c>
      <c r="L70" s="416"/>
    </row>
    <row r="71" spans="1:15" s="88" customFormat="1" ht="14">
      <c r="A71" s="220">
        <v>3721</v>
      </c>
      <c r="B71" s="104">
        <v>41460</v>
      </c>
      <c r="C71" s="91" t="s">
        <v>271</v>
      </c>
      <c r="D71" s="105">
        <v>2096.4299999999998</v>
      </c>
      <c r="E71" s="413">
        <f>D71/6.0506</f>
        <v>346.48299342213994</v>
      </c>
      <c r="F71" s="91" t="s">
        <v>409</v>
      </c>
      <c r="G71" s="91" t="s">
        <v>52</v>
      </c>
      <c r="H71" s="356" t="s">
        <v>119</v>
      </c>
      <c r="I71" s="91" t="s">
        <v>1109</v>
      </c>
      <c r="J71" s="91" t="s">
        <v>292</v>
      </c>
      <c r="K71" s="355"/>
      <c r="L71" s="416"/>
    </row>
    <row r="72" spans="1:15" s="88" customFormat="1" ht="14">
      <c r="A72" s="219">
        <v>3517</v>
      </c>
      <c r="B72" s="106">
        <v>41362</v>
      </c>
      <c r="C72" s="92" t="s">
        <v>583</v>
      </c>
      <c r="D72" s="105">
        <v>1988.32</v>
      </c>
      <c r="E72" s="413">
        <f>D72/'12 - Equity Statement'!$K$10</f>
        <v>317.17207165531431</v>
      </c>
      <c r="F72" s="92" t="s">
        <v>409</v>
      </c>
      <c r="G72" s="91" t="s">
        <v>52</v>
      </c>
      <c r="H72" s="356" t="s">
        <v>119</v>
      </c>
      <c r="I72" s="91" t="s">
        <v>1109</v>
      </c>
      <c r="J72" s="92" t="s">
        <v>292</v>
      </c>
      <c r="K72" s="355"/>
      <c r="L72" s="416"/>
    </row>
    <row r="73" spans="1:15" s="88" customFormat="1" ht="14">
      <c r="A73" s="219">
        <v>3657</v>
      </c>
      <c r="B73" s="106">
        <v>41431</v>
      </c>
      <c r="C73" s="92" t="s">
        <v>557</v>
      </c>
      <c r="D73" s="105">
        <v>1988.32</v>
      </c>
      <c r="E73" s="413">
        <f>D73/'12 - Equity Statement'!$N$10</f>
        <v>328.51218504750102</v>
      </c>
      <c r="F73" s="92" t="s">
        <v>409</v>
      </c>
      <c r="G73" s="91" t="s">
        <v>52</v>
      </c>
      <c r="H73" s="356" t="s">
        <v>119</v>
      </c>
      <c r="I73" s="91" t="s">
        <v>1109</v>
      </c>
      <c r="J73" s="92" t="s">
        <v>292</v>
      </c>
      <c r="K73" s="355"/>
      <c r="L73" s="416"/>
    </row>
    <row r="74" spans="1:15" s="88" customFormat="1" ht="14">
      <c r="A74" s="260">
        <v>3953</v>
      </c>
      <c r="B74" s="265">
        <v>41584</v>
      </c>
      <c r="C74" s="259" t="s">
        <v>917</v>
      </c>
      <c r="D74" s="262">
        <v>2096.4299999999998</v>
      </c>
      <c r="E74" s="413">
        <f>D74/6.0045</f>
        <v>349.14314264301771</v>
      </c>
      <c r="F74" s="259" t="s">
        <v>409</v>
      </c>
      <c r="G74" s="91" t="s">
        <v>52</v>
      </c>
      <c r="H74" s="355" t="s">
        <v>118</v>
      </c>
      <c r="I74" s="268" t="s">
        <v>1109</v>
      </c>
      <c r="J74" s="259" t="s">
        <v>832</v>
      </c>
      <c r="K74" s="355" t="s">
        <v>24</v>
      </c>
      <c r="L74" s="416" t="s">
        <v>402</v>
      </c>
      <c r="M74" s="259" t="s">
        <v>402</v>
      </c>
      <c r="N74" s="260" t="s">
        <v>402</v>
      </c>
      <c r="O74" s="218"/>
    </row>
    <row r="75" spans="1:15" s="88" customFormat="1" ht="14">
      <c r="A75" s="352">
        <v>3810</v>
      </c>
      <c r="B75" s="354">
        <v>41547</v>
      </c>
      <c r="C75" s="257" t="s">
        <v>937</v>
      </c>
      <c r="D75" s="276">
        <v>2096.4299999999998</v>
      </c>
      <c r="E75" s="413">
        <f>D75/6.0121</f>
        <v>348.70178473411949</v>
      </c>
      <c r="F75" s="257" t="s">
        <v>409</v>
      </c>
      <c r="G75" s="91" t="s">
        <v>52</v>
      </c>
      <c r="H75" s="355" t="s">
        <v>118</v>
      </c>
      <c r="I75" s="91" t="s">
        <v>1109</v>
      </c>
      <c r="J75" s="257" t="s">
        <v>832</v>
      </c>
      <c r="K75" s="355" t="s">
        <v>24</v>
      </c>
      <c r="L75" s="416"/>
    </row>
    <row r="76" spans="1:15" s="88" customFormat="1" ht="14">
      <c r="A76" s="220">
        <v>3387</v>
      </c>
      <c r="B76" s="104">
        <v>41281</v>
      </c>
      <c r="C76" s="91" t="s">
        <v>337</v>
      </c>
      <c r="D76" s="105">
        <v>1988.32</v>
      </c>
      <c r="E76" s="411">
        <f>D76/'12 - Equity Statement'!$I$10</f>
        <v>319.92276749798873</v>
      </c>
      <c r="F76" s="91" t="s">
        <v>409</v>
      </c>
      <c r="G76" s="91" t="s">
        <v>19</v>
      </c>
      <c r="H76" s="355" t="s">
        <v>118</v>
      </c>
      <c r="I76" s="91" t="s">
        <v>1109</v>
      </c>
      <c r="J76" s="91" t="s">
        <v>292</v>
      </c>
      <c r="K76" s="123"/>
      <c r="L76" s="349"/>
      <c r="M76" s="123"/>
      <c r="N76" s="123"/>
      <c r="O76" s="123"/>
    </row>
    <row r="77" spans="1:15" s="88" customFormat="1" ht="14">
      <c r="A77" s="219">
        <v>3448</v>
      </c>
      <c r="B77" s="106">
        <v>41306</v>
      </c>
      <c r="C77" s="92" t="s">
        <v>512</v>
      </c>
      <c r="D77" s="105">
        <v>1988.32</v>
      </c>
      <c r="E77" s="413">
        <f>D77/'12 - Equity Statement'!$J$10</f>
        <v>316.71737364405294</v>
      </c>
      <c r="F77" s="92" t="s">
        <v>409</v>
      </c>
      <c r="G77" s="91" t="s">
        <v>52</v>
      </c>
      <c r="H77" s="356" t="s">
        <v>119</v>
      </c>
      <c r="I77" s="91" t="s">
        <v>1109</v>
      </c>
      <c r="J77" s="92" t="s">
        <v>292</v>
      </c>
      <c r="K77" s="355"/>
      <c r="L77" s="416"/>
    </row>
    <row r="78" spans="1:15" s="88" customFormat="1" ht="14">
      <c r="A78" s="219">
        <v>3612</v>
      </c>
      <c r="B78" s="106">
        <v>41396</v>
      </c>
      <c r="C78" s="92" t="s">
        <v>466</v>
      </c>
      <c r="D78" s="105">
        <v>1018.08</v>
      </c>
      <c r="E78" s="413">
        <f>D78/'12 - Equity Statement'!$M$10</f>
        <v>166.3910044781486</v>
      </c>
      <c r="F78" s="92" t="s">
        <v>409</v>
      </c>
      <c r="G78" s="91" t="s">
        <v>52</v>
      </c>
      <c r="H78" s="356" t="s">
        <v>119</v>
      </c>
      <c r="I78" s="91" t="s">
        <v>1109</v>
      </c>
      <c r="J78" s="92" t="s">
        <v>292</v>
      </c>
      <c r="K78" s="355"/>
      <c r="L78" s="416"/>
    </row>
    <row r="79" spans="1:15" s="88" customFormat="1" ht="14">
      <c r="A79" s="352">
        <v>3782</v>
      </c>
      <c r="B79" s="354">
        <v>41516</v>
      </c>
      <c r="C79" s="257" t="s">
        <v>809</v>
      </c>
      <c r="D79" s="276">
        <v>1137.24</v>
      </c>
      <c r="E79" s="413">
        <f>D79/6.0406</f>
        <v>188.26606628480613</v>
      </c>
      <c r="F79" s="257" t="s">
        <v>409</v>
      </c>
      <c r="G79" s="91" t="s">
        <v>52</v>
      </c>
      <c r="H79" s="355" t="s">
        <v>118</v>
      </c>
      <c r="I79" s="91" t="s">
        <v>1109</v>
      </c>
      <c r="J79" s="257" t="s">
        <v>832</v>
      </c>
      <c r="K79" s="355" t="s">
        <v>24</v>
      </c>
      <c r="L79" s="416"/>
    </row>
    <row r="80" spans="1:15" s="88" customFormat="1" ht="14">
      <c r="A80" s="220">
        <v>3386</v>
      </c>
      <c r="B80" s="104">
        <v>41279</v>
      </c>
      <c r="C80" s="91" t="s">
        <v>318</v>
      </c>
      <c r="D80" s="105">
        <v>1018.08</v>
      </c>
      <c r="E80" s="411">
        <f>D80/'12 - Equity Statement'!$I$10</f>
        <v>163.81013676588898</v>
      </c>
      <c r="F80" s="91" t="s">
        <v>409</v>
      </c>
      <c r="G80" s="91" t="s">
        <v>19</v>
      </c>
      <c r="H80" s="355" t="s">
        <v>118</v>
      </c>
      <c r="I80" s="91" t="s">
        <v>1109</v>
      </c>
      <c r="J80" s="91" t="s">
        <v>292</v>
      </c>
      <c r="K80" s="123"/>
      <c r="L80" s="349"/>
      <c r="M80" s="123"/>
      <c r="N80" s="123"/>
      <c r="O80" s="123"/>
    </row>
    <row r="81" spans="1:15" s="88" customFormat="1" ht="14">
      <c r="A81" s="219">
        <v>3454</v>
      </c>
      <c r="B81" s="106">
        <v>41333</v>
      </c>
      <c r="C81" s="92" t="s">
        <v>780</v>
      </c>
      <c r="D81" s="105">
        <v>1018.08</v>
      </c>
      <c r="E81" s="413">
        <f>D81/'12 - Equity Statement'!$J$10</f>
        <v>162.16887812803645</v>
      </c>
      <c r="F81" s="92" t="s">
        <v>409</v>
      </c>
      <c r="G81" s="91" t="s">
        <v>52</v>
      </c>
      <c r="H81" s="356" t="s">
        <v>119</v>
      </c>
      <c r="I81" s="91" t="s">
        <v>1109</v>
      </c>
      <c r="J81" s="92" t="s">
        <v>292</v>
      </c>
      <c r="K81" s="355"/>
      <c r="L81" s="416"/>
    </row>
    <row r="82" spans="1:15" s="88" customFormat="1" ht="14">
      <c r="A82" s="220">
        <v>3395</v>
      </c>
      <c r="B82" s="104">
        <v>41304</v>
      </c>
      <c r="C82" s="91" t="s">
        <v>730</v>
      </c>
      <c r="D82" s="105">
        <v>1018.08</v>
      </c>
      <c r="E82" s="411">
        <f>D82/'12 - Equity Statement'!$I$10</f>
        <v>163.81013676588898</v>
      </c>
      <c r="F82" s="91" t="s">
        <v>409</v>
      </c>
      <c r="G82" s="91" t="s">
        <v>19</v>
      </c>
      <c r="H82" s="355" t="s">
        <v>118</v>
      </c>
      <c r="I82" s="91" t="s">
        <v>1109</v>
      </c>
      <c r="J82" s="91" t="s">
        <v>292</v>
      </c>
      <c r="K82" s="123"/>
      <c r="L82" s="349"/>
      <c r="M82" s="123"/>
      <c r="N82" s="123"/>
      <c r="O82" s="123"/>
    </row>
    <row r="83" spans="1:15" s="88" customFormat="1" ht="14">
      <c r="A83" s="352">
        <v>3775</v>
      </c>
      <c r="B83" s="354">
        <v>41488</v>
      </c>
      <c r="C83" s="257" t="s">
        <v>898</v>
      </c>
      <c r="D83" s="276">
        <v>1137.24</v>
      </c>
      <c r="E83" s="413">
        <f>D83/6.0406</f>
        <v>188.26606628480613</v>
      </c>
      <c r="F83" s="257" t="s">
        <v>409</v>
      </c>
      <c r="G83" s="91" t="s">
        <v>52</v>
      </c>
      <c r="H83" s="355" t="s">
        <v>118</v>
      </c>
      <c r="I83" s="91" t="s">
        <v>1109</v>
      </c>
      <c r="J83" s="257" t="s">
        <v>832</v>
      </c>
      <c r="K83" s="355" t="s">
        <v>24</v>
      </c>
      <c r="L83" s="416"/>
    </row>
    <row r="84" spans="1:15" s="88" customFormat="1" ht="14">
      <c r="A84" s="219">
        <v>3663</v>
      </c>
      <c r="B84" s="106">
        <v>41453</v>
      </c>
      <c r="C84" s="92" t="s">
        <v>507</v>
      </c>
      <c r="D84" s="105">
        <v>1137.24</v>
      </c>
      <c r="E84" s="413">
        <f>D84/'12 - Equity Statement'!$N$10</f>
        <v>187.89591078066914</v>
      </c>
      <c r="F84" s="92" t="s">
        <v>409</v>
      </c>
      <c r="G84" s="91" t="s">
        <v>52</v>
      </c>
      <c r="H84" s="356" t="s">
        <v>119</v>
      </c>
      <c r="I84" s="91" t="s">
        <v>1109</v>
      </c>
      <c r="J84" s="92" t="s">
        <v>292</v>
      </c>
      <c r="K84" s="355"/>
      <c r="L84" s="416"/>
    </row>
    <row r="85" spans="1:15" s="88" customFormat="1" ht="14">
      <c r="A85" s="219">
        <v>3557</v>
      </c>
      <c r="B85" s="106">
        <v>41366</v>
      </c>
      <c r="C85" s="92" t="s">
        <v>449</v>
      </c>
      <c r="D85" s="105">
        <v>1018.08</v>
      </c>
      <c r="E85" s="413">
        <f>D85/'12 - Equity Statement'!$L$10</f>
        <v>163.05193869216356</v>
      </c>
      <c r="F85" s="92" t="s">
        <v>409</v>
      </c>
      <c r="G85" s="91" t="s">
        <v>52</v>
      </c>
      <c r="H85" s="356" t="s">
        <v>119</v>
      </c>
      <c r="I85" s="91" t="s">
        <v>1110</v>
      </c>
      <c r="J85" s="92" t="s">
        <v>292</v>
      </c>
      <c r="K85" s="355"/>
      <c r="L85" s="416"/>
    </row>
    <row r="86" spans="1:15" s="88" customFormat="1" ht="14">
      <c r="A86" s="219">
        <v>3641</v>
      </c>
      <c r="B86" s="106">
        <v>41425</v>
      </c>
      <c r="C86" s="92" t="s">
        <v>472</v>
      </c>
      <c r="D86" s="105">
        <v>1018.08</v>
      </c>
      <c r="E86" s="413">
        <f>D86/'12 - Equity Statement'!$M$10</f>
        <v>166.3910044781486</v>
      </c>
      <c r="F86" s="92" t="s">
        <v>409</v>
      </c>
      <c r="G86" s="91" t="s">
        <v>52</v>
      </c>
      <c r="H86" s="356" t="s">
        <v>119</v>
      </c>
      <c r="I86" s="91" t="s">
        <v>1109</v>
      </c>
      <c r="J86" s="92" t="s">
        <v>292</v>
      </c>
      <c r="K86" s="355"/>
      <c r="L86" s="416"/>
    </row>
    <row r="87" spans="1:15" s="88" customFormat="1" ht="14">
      <c r="A87" s="352">
        <v>3937</v>
      </c>
      <c r="B87" s="354">
        <v>41578</v>
      </c>
      <c r="C87" s="257" t="s">
        <v>978</v>
      </c>
      <c r="D87" s="276">
        <v>1137.24</v>
      </c>
      <c r="E87" s="413">
        <f>D87/6.0043</f>
        <v>189.40426028013258</v>
      </c>
      <c r="F87" s="257" t="s">
        <v>409</v>
      </c>
      <c r="G87" s="91" t="s">
        <v>52</v>
      </c>
      <c r="H87" s="355" t="s">
        <v>118</v>
      </c>
      <c r="I87" s="268" t="s">
        <v>1109</v>
      </c>
      <c r="J87" s="268" t="s">
        <v>832</v>
      </c>
      <c r="K87" s="355" t="s">
        <v>24</v>
      </c>
      <c r="L87" s="416"/>
    </row>
    <row r="88" spans="1:15" s="88" customFormat="1" ht="14">
      <c r="A88" s="352">
        <v>3811</v>
      </c>
      <c r="B88" s="354">
        <v>41547</v>
      </c>
      <c r="C88" s="257" t="s">
        <v>936</v>
      </c>
      <c r="D88" s="276">
        <v>1137.24</v>
      </c>
      <c r="E88" s="413">
        <f>D88/6.0121</f>
        <v>189.15853029723391</v>
      </c>
      <c r="F88" s="257" t="s">
        <v>409</v>
      </c>
      <c r="G88" s="91" t="s">
        <v>52</v>
      </c>
      <c r="H88" s="355" t="s">
        <v>118</v>
      </c>
      <c r="I88" s="91" t="s">
        <v>1109</v>
      </c>
      <c r="J88" s="257" t="s">
        <v>832</v>
      </c>
      <c r="K88" s="355" t="s">
        <v>24</v>
      </c>
      <c r="L88" s="416"/>
    </row>
    <row r="89" spans="1:15" s="88" customFormat="1" ht="14">
      <c r="A89" s="351">
        <v>4014</v>
      </c>
      <c r="B89" s="353">
        <v>41610</v>
      </c>
      <c r="C89" s="264" t="s">
        <v>229</v>
      </c>
      <c r="D89" s="278">
        <v>1137.24</v>
      </c>
      <c r="E89" s="413">
        <f>D89/6.0058</f>
        <v>189.35695494355457</v>
      </c>
      <c r="F89" s="264" t="s">
        <v>409</v>
      </c>
      <c r="G89" s="91" t="s">
        <v>52</v>
      </c>
      <c r="H89" s="355" t="s">
        <v>118</v>
      </c>
      <c r="I89" s="268" t="s">
        <v>1109</v>
      </c>
      <c r="J89" s="264" t="s">
        <v>832</v>
      </c>
      <c r="K89" s="355" t="s">
        <v>24</v>
      </c>
      <c r="L89" s="416" t="s">
        <v>402</v>
      </c>
      <c r="M89" s="264" t="s">
        <v>402</v>
      </c>
      <c r="N89" s="351" t="s">
        <v>402</v>
      </c>
    </row>
    <row r="90" spans="1:15" s="88" customFormat="1" ht="14">
      <c r="A90" s="352">
        <v>3804</v>
      </c>
      <c r="B90" s="354">
        <v>41526</v>
      </c>
      <c r="C90" s="257" t="s">
        <v>942</v>
      </c>
      <c r="D90" s="276">
        <v>238.32</v>
      </c>
      <c r="E90" s="413">
        <f>D90/6.0121</f>
        <v>39.640059213918597</v>
      </c>
      <c r="F90" s="257" t="s">
        <v>409</v>
      </c>
      <c r="G90" s="91" t="s">
        <v>52</v>
      </c>
      <c r="H90" s="355" t="s">
        <v>118</v>
      </c>
      <c r="I90" s="91" t="s">
        <v>1109</v>
      </c>
      <c r="J90" s="257" t="s">
        <v>832</v>
      </c>
      <c r="K90" s="355" t="s">
        <v>24</v>
      </c>
      <c r="L90" s="416"/>
    </row>
    <row r="91" spans="1:15" s="88" customFormat="1" ht="14">
      <c r="A91" s="352">
        <v>3803</v>
      </c>
      <c r="B91" s="354">
        <v>41526</v>
      </c>
      <c r="C91" s="257" t="s">
        <v>943</v>
      </c>
      <c r="D91" s="276">
        <v>216.22</v>
      </c>
      <c r="E91" s="413">
        <f>D91/6.0121</f>
        <v>35.964138986377471</v>
      </c>
      <c r="F91" s="257" t="s">
        <v>409</v>
      </c>
      <c r="G91" s="91" t="s">
        <v>52</v>
      </c>
      <c r="H91" s="355" t="s">
        <v>118</v>
      </c>
      <c r="I91" s="91" t="s">
        <v>1109</v>
      </c>
      <c r="J91" s="257" t="s">
        <v>832</v>
      </c>
      <c r="K91" s="355" t="s">
        <v>24</v>
      </c>
      <c r="L91" s="416"/>
    </row>
    <row r="92" spans="1:15" s="88" customFormat="1" ht="14">
      <c r="A92" s="219">
        <v>3680</v>
      </c>
      <c r="B92" s="106">
        <v>41439</v>
      </c>
      <c r="C92" s="92" t="s">
        <v>277</v>
      </c>
      <c r="D92" s="105">
        <v>1007</v>
      </c>
      <c r="E92" s="413">
        <f>D92/'12 - Equity Statement'!$N$10</f>
        <v>166.37752994630318</v>
      </c>
      <c r="F92" s="92" t="s">
        <v>383</v>
      </c>
      <c r="G92" s="91" t="s">
        <v>19</v>
      </c>
      <c r="H92" s="355" t="s">
        <v>1071</v>
      </c>
      <c r="I92" s="268" t="s">
        <v>1109</v>
      </c>
      <c r="J92" s="92" t="s">
        <v>101</v>
      </c>
      <c r="K92" s="356" t="s">
        <v>32</v>
      </c>
      <c r="L92" s="416"/>
    </row>
    <row r="93" spans="1:15" s="88" customFormat="1" ht="14">
      <c r="A93" s="219">
        <v>3679</v>
      </c>
      <c r="B93" s="106">
        <v>41439</v>
      </c>
      <c r="C93" s="92" t="s">
        <v>371</v>
      </c>
      <c r="D93" s="105">
        <v>3000</v>
      </c>
      <c r="E93" s="413">
        <f>D93/'12 - Equity Statement'!$N$10</f>
        <v>495.66294919454771</v>
      </c>
      <c r="F93" s="92" t="s">
        <v>276</v>
      </c>
      <c r="G93" s="91" t="s">
        <v>19</v>
      </c>
      <c r="H93" s="355" t="s">
        <v>1071</v>
      </c>
      <c r="I93" s="268" t="s">
        <v>1109</v>
      </c>
      <c r="J93" s="92" t="s">
        <v>188</v>
      </c>
      <c r="K93" s="356" t="s">
        <v>29</v>
      </c>
      <c r="L93" s="416"/>
    </row>
    <row r="94" spans="1:15" s="88" customFormat="1" ht="14">
      <c r="A94" s="219">
        <v>3692</v>
      </c>
      <c r="B94" s="106">
        <v>41432</v>
      </c>
      <c r="C94" s="92" t="s">
        <v>360</v>
      </c>
      <c r="D94" s="105">
        <v>389</v>
      </c>
      <c r="E94" s="413">
        <f>D94/'12 - Equity Statement'!$N$10</f>
        <v>64.270962412226353</v>
      </c>
      <c r="F94" s="92" t="s">
        <v>361</v>
      </c>
      <c r="G94" s="91" t="s">
        <v>19</v>
      </c>
      <c r="H94" s="355" t="s">
        <v>1071</v>
      </c>
      <c r="I94" s="91" t="s">
        <v>1110</v>
      </c>
      <c r="J94" s="92" t="s">
        <v>188</v>
      </c>
      <c r="K94" s="356" t="s">
        <v>32</v>
      </c>
      <c r="L94" s="416"/>
    </row>
    <row r="95" spans="1:15" s="88" customFormat="1" ht="15">
      <c r="A95" s="352">
        <v>3900</v>
      </c>
      <c r="B95" s="354">
        <v>41520</v>
      </c>
      <c r="C95" s="257" t="s">
        <v>824</v>
      </c>
      <c r="D95" s="424"/>
      <c r="E95" s="413">
        <v>110.41</v>
      </c>
      <c r="F95" s="257" t="s">
        <v>825</v>
      </c>
      <c r="G95" s="91" t="s">
        <v>52</v>
      </c>
      <c r="H95" s="355" t="s">
        <v>1071</v>
      </c>
      <c r="I95" s="91" t="s">
        <v>1110</v>
      </c>
      <c r="J95" s="268" t="s">
        <v>102</v>
      </c>
      <c r="K95" s="355" t="s">
        <v>29</v>
      </c>
      <c r="L95" s="416"/>
    </row>
    <row r="97" spans="3:5">
      <c r="C97" s="467" t="s">
        <v>333</v>
      </c>
      <c r="E97" s="445">
        <f>SUM(E2:E95)</f>
        <v>53201.896802290205</v>
      </c>
    </row>
  </sheetData>
  <sortState ref="A2:O185">
    <sortCondition ref="C2:C185"/>
  </sortState>
  <phoneticPr fontId="51" type="noConversion"/>
  <dataValidations count="1">
    <dataValidation type="list" allowBlank="1" showInputMessage="1" showErrorMessage="1" sqref="K3:K95">
      <formula1>$K$457:$K$473</formula1>
    </dataValidation>
  </dataValidations>
  <pageMargins left="0.7" right="0.7" top="0.75" bottom="0.75" header="0.3" footer="0.3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Conventions!$A$46:$A$57</xm:f>
          </x14:formula1>
          <xm:sqref>H2:H95</xm:sqref>
        </x14:dataValidation>
        <x14:dataValidation type="list" allowBlank="1" showInputMessage="1" showErrorMessage="1">
          <x14:formula1>
            <xm:f>'6 - P&amp;L Program Detail'!$A$15:$A$46</xm:f>
          </x14:formula1>
          <xm:sqref>G2:G95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54"/>
  <sheetViews>
    <sheetView topLeftCell="A124" workbookViewId="0">
      <selection activeCell="J242" sqref="J242"/>
    </sheetView>
  </sheetViews>
  <sheetFormatPr baseColWidth="10" defaultColWidth="10.83203125" defaultRowHeight="15" x14ac:dyDescent="0"/>
  <cols>
    <col min="1" max="1" width="31.6640625" style="283" customWidth="1"/>
    <col min="2" max="3" width="14.1640625" style="283" bestFit="1" customWidth="1"/>
    <col min="4" max="4" width="20.5" style="283" customWidth="1"/>
    <col min="5" max="5" width="8.5" style="283" customWidth="1"/>
    <col min="6" max="6" width="11.1640625" style="283" customWidth="1"/>
    <col min="7" max="7" width="14.1640625" style="283" bestFit="1" customWidth="1"/>
    <col min="8" max="9" width="12.6640625" style="283" bestFit="1" customWidth="1"/>
    <col min="10" max="14" width="14.1640625" style="283" bestFit="1" customWidth="1"/>
    <col min="15" max="15" width="20.5" style="284" customWidth="1"/>
    <col min="16" max="16" width="10.1640625" style="283" hidden="1" customWidth="1"/>
    <col min="17" max="17" width="13" style="312" hidden="1" customWidth="1"/>
    <col min="18" max="18" width="27.1640625" style="232" customWidth="1"/>
    <col min="19" max="19" width="19" style="283" bestFit="1" customWidth="1"/>
    <col min="20" max="16384" width="10.83203125" style="283"/>
  </cols>
  <sheetData>
    <row r="1" spans="1:18" s="282" customFormat="1" hidden="1">
      <c r="A1" s="200">
        <v>40909</v>
      </c>
      <c r="B1" s="561" t="s">
        <v>204</v>
      </c>
      <c r="C1" s="561"/>
      <c r="D1" s="561"/>
      <c r="E1" s="562" t="s">
        <v>190</v>
      </c>
      <c r="F1" s="562"/>
      <c r="G1" s="562" t="s">
        <v>191</v>
      </c>
      <c r="H1" s="562"/>
      <c r="I1" s="562" t="s">
        <v>192</v>
      </c>
      <c r="J1" s="562"/>
      <c r="K1" s="562" t="s">
        <v>193</v>
      </c>
      <c r="L1" s="562"/>
      <c r="M1" s="563" t="s">
        <v>205</v>
      </c>
      <c r="N1" s="563"/>
      <c r="O1" s="563"/>
      <c r="P1" s="252" t="s">
        <v>194</v>
      </c>
      <c r="Q1" s="201" t="s">
        <v>206</v>
      </c>
      <c r="R1" s="234" t="s">
        <v>996</v>
      </c>
    </row>
    <row r="2" spans="1:18" hidden="1">
      <c r="A2" s="202" t="s">
        <v>195</v>
      </c>
      <c r="B2" s="202" t="s">
        <v>596</v>
      </c>
      <c r="C2" s="202" t="s">
        <v>597</v>
      </c>
      <c r="D2" s="202" t="s">
        <v>207</v>
      </c>
      <c r="E2" s="202" t="s">
        <v>596</v>
      </c>
      <c r="F2" s="202" t="s">
        <v>597</v>
      </c>
      <c r="G2" s="202" t="s">
        <v>596</v>
      </c>
      <c r="H2" s="202" t="s">
        <v>597</v>
      </c>
      <c r="I2" s="202" t="s">
        <v>596</v>
      </c>
      <c r="J2" s="202" t="s">
        <v>597</v>
      </c>
      <c r="K2" s="202" t="s">
        <v>596</v>
      </c>
      <c r="L2" s="202" t="s">
        <v>597</v>
      </c>
      <c r="M2" s="202" t="s">
        <v>596</v>
      </c>
      <c r="N2" s="202" t="s">
        <v>597</v>
      </c>
      <c r="O2" s="202" t="s">
        <v>207</v>
      </c>
      <c r="P2" s="203"/>
      <c r="Q2" s="204"/>
    </row>
    <row r="3" spans="1:18" hidden="1">
      <c r="A3" s="206" t="s">
        <v>208</v>
      </c>
      <c r="B3" s="207">
        <v>0</v>
      </c>
      <c r="C3" s="208">
        <v>166942.15</v>
      </c>
      <c r="D3" s="209">
        <v>166942.15</v>
      </c>
      <c r="E3" s="210"/>
      <c r="F3" s="208"/>
      <c r="G3" s="207"/>
      <c r="H3" s="208"/>
      <c r="I3" s="210"/>
      <c r="J3" s="208">
        <v>304.25</v>
      </c>
      <c r="K3" s="210"/>
      <c r="L3" s="208"/>
      <c r="M3" s="207">
        <v>0</v>
      </c>
      <c r="N3" s="208">
        <v>166637.9</v>
      </c>
      <c r="O3" s="211">
        <v>166637.9</v>
      </c>
      <c r="P3" s="210" t="s">
        <v>197</v>
      </c>
      <c r="Q3" s="204"/>
      <c r="R3" s="232">
        <f>O3-D3</f>
        <v>-304.25</v>
      </c>
    </row>
    <row r="4" spans="1:18" hidden="1">
      <c r="A4" s="206" t="s">
        <v>198</v>
      </c>
      <c r="B4" s="207">
        <v>1646.69</v>
      </c>
      <c r="C4" s="208">
        <v>0</v>
      </c>
      <c r="D4" s="209">
        <v>260.68420719351576</v>
      </c>
      <c r="E4" s="203"/>
      <c r="F4" s="210"/>
      <c r="G4" s="207">
        <v>4000</v>
      </c>
      <c r="H4" s="210"/>
      <c r="I4" s="207">
        <v>2247.33</v>
      </c>
      <c r="J4" s="210"/>
      <c r="K4" s="207"/>
      <c r="L4" s="210"/>
      <c r="M4" s="207">
        <v>3399.360000000001</v>
      </c>
      <c r="N4" s="208">
        <v>0</v>
      </c>
      <c r="O4" s="211">
        <v>538.145896656535</v>
      </c>
      <c r="P4" s="210" t="s">
        <v>199</v>
      </c>
      <c r="Q4" s="204"/>
      <c r="R4" s="232">
        <f t="shared" ref="R4:R7" si="0">O4-D4</f>
        <v>277.46168946301924</v>
      </c>
    </row>
    <row r="5" spans="1:18" hidden="1">
      <c r="A5" s="206" t="s">
        <v>200</v>
      </c>
      <c r="B5" s="207">
        <v>84529.680000000008</v>
      </c>
      <c r="C5" s="208">
        <v>0</v>
      </c>
      <c r="D5" s="209">
        <v>13381.724924012162</v>
      </c>
      <c r="E5" s="207"/>
      <c r="F5" s="210"/>
      <c r="G5" s="207"/>
      <c r="H5" s="208"/>
      <c r="I5" s="207">
        <v>198.35</v>
      </c>
      <c r="J5" s="210"/>
      <c r="K5" s="207">
        <v>7500</v>
      </c>
      <c r="L5" s="208"/>
      <c r="M5" s="207">
        <v>76831.329999999987</v>
      </c>
      <c r="N5" s="208">
        <v>0</v>
      </c>
      <c r="O5" s="211">
        <v>12163.014501013171</v>
      </c>
      <c r="P5" s="210" t="s">
        <v>201</v>
      </c>
      <c r="Q5" s="204"/>
      <c r="R5" s="232">
        <f t="shared" si="0"/>
        <v>-1218.7104229989909</v>
      </c>
    </row>
    <row r="6" spans="1:18" hidden="1">
      <c r="A6" s="206" t="s">
        <v>202</v>
      </c>
      <c r="B6" s="207">
        <v>199720.62</v>
      </c>
      <c r="C6" s="208">
        <v>5009.76</v>
      </c>
      <c r="D6" s="209">
        <v>36627.132720364745</v>
      </c>
      <c r="E6" s="207"/>
      <c r="F6" s="208"/>
      <c r="G6" s="207"/>
      <c r="H6" s="210"/>
      <c r="I6" s="207"/>
      <c r="J6" s="210"/>
      <c r="K6" s="207"/>
      <c r="L6" s="210"/>
      <c r="M6" s="207">
        <v>199720.62</v>
      </c>
      <c r="N6" s="208">
        <v>5009.76</v>
      </c>
      <c r="O6" s="211">
        <v>36627.132720364745</v>
      </c>
      <c r="P6" s="210" t="s">
        <v>199</v>
      </c>
      <c r="Q6" s="204"/>
      <c r="R6" s="232">
        <f t="shared" si="0"/>
        <v>0</v>
      </c>
    </row>
    <row r="7" spans="1:18" s="284" customFormat="1" hidden="1">
      <c r="A7" s="212" t="s">
        <v>209</v>
      </c>
      <c r="B7" s="213">
        <v>285896.99</v>
      </c>
      <c r="C7" s="214">
        <v>171951.91</v>
      </c>
      <c r="D7" s="211">
        <v>217211.69185157042</v>
      </c>
      <c r="E7" s="215"/>
      <c r="F7" s="215"/>
      <c r="G7" s="215"/>
      <c r="H7" s="215"/>
      <c r="I7" s="213">
        <v>5945.68</v>
      </c>
      <c r="J7" s="214">
        <v>304.25</v>
      </c>
      <c r="K7" s="215"/>
      <c r="L7" s="215"/>
      <c r="M7" s="213">
        <v>279951.31</v>
      </c>
      <c r="N7" s="214">
        <v>171647.66</v>
      </c>
      <c r="O7" s="211">
        <v>215966.19311803448</v>
      </c>
      <c r="P7" s="215"/>
      <c r="Q7" s="211">
        <f>O7-D7</f>
        <v>-1245.4987335359328</v>
      </c>
      <c r="R7" s="233">
        <f t="shared" si="0"/>
        <v>-1245.4987335359328</v>
      </c>
    </row>
    <row r="8" spans="1:18" hidden="1">
      <c r="A8" s="216" t="s">
        <v>203</v>
      </c>
      <c r="B8" s="207"/>
      <c r="C8" s="208"/>
      <c r="D8" s="209"/>
      <c r="E8" s="210"/>
      <c r="F8" s="210"/>
      <c r="G8" s="210"/>
      <c r="H8" s="210"/>
      <c r="I8" s="208">
        <v>941.24873353596774</v>
      </c>
      <c r="J8" s="208">
        <v>1245.4987335359679</v>
      </c>
      <c r="K8" s="210"/>
      <c r="L8" s="210"/>
      <c r="M8" s="207"/>
      <c r="N8" s="208"/>
      <c r="O8" s="211"/>
      <c r="P8" s="210"/>
      <c r="Q8" s="204"/>
    </row>
    <row r="9" spans="1:18" hidden="1">
      <c r="A9" s="216">
        <v>6.3167999999999997</v>
      </c>
      <c r="B9" s="203"/>
      <c r="C9" s="203"/>
      <c r="D9" s="204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12"/>
      <c r="P9" s="203"/>
      <c r="Q9" s="204"/>
    </row>
    <row r="10" spans="1:18" hidden="1">
      <c r="A10" s="203"/>
      <c r="B10" s="203"/>
      <c r="C10" s="203"/>
      <c r="D10" s="204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12"/>
      <c r="P10" s="203"/>
      <c r="Q10" s="204"/>
    </row>
    <row r="11" spans="1:18" s="282" customFormat="1" hidden="1">
      <c r="A11" s="200">
        <v>40940</v>
      </c>
      <c r="B11" s="561" t="s">
        <v>204</v>
      </c>
      <c r="C11" s="561"/>
      <c r="D11" s="561"/>
      <c r="E11" s="562" t="s">
        <v>190</v>
      </c>
      <c r="F11" s="562"/>
      <c r="G11" s="562" t="s">
        <v>191</v>
      </c>
      <c r="H11" s="562"/>
      <c r="I11" s="562" t="s">
        <v>192</v>
      </c>
      <c r="J11" s="562"/>
      <c r="K11" s="562" t="s">
        <v>193</v>
      </c>
      <c r="L11" s="562"/>
      <c r="M11" s="563" t="s">
        <v>205</v>
      </c>
      <c r="N11" s="563"/>
      <c r="O11" s="563"/>
      <c r="P11" s="252" t="s">
        <v>194</v>
      </c>
      <c r="Q11" s="217"/>
      <c r="R11" s="234" t="s">
        <v>996</v>
      </c>
    </row>
    <row r="12" spans="1:18" hidden="1">
      <c r="A12" s="202" t="s">
        <v>195</v>
      </c>
      <c r="B12" s="202" t="s">
        <v>596</v>
      </c>
      <c r="C12" s="202" t="s">
        <v>597</v>
      </c>
      <c r="D12" s="202" t="s">
        <v>207</v>
      </c>
      <c r="E12" s="202" t="s">
        <v>596</v>
      </c>
      <c r="F12" s="202" t="s">
        <v>597</v>
      </c>
      <c r="G12" s="202" t="s">
        <v>596</v>
      </c>
      <c r="H12" s="202" t="s">
        <v>597</v>
      </c>
      <c r="I12" s="202" t="s">
        <v>596</v>
      </c>
      <c r="J12" s="202" t="s">
        <v>597</v>
      </c>
      <c r="K12" s="202" t="s">
        <v>596</v>
      </c>
      <c r="L12" s="202" t="s">
        <v>597</v>
      </c>
      <c r="M12" s="202" t="s">
        <v>596</v>
      </c>
      <c r="N12" s="202" t="s">
        <v>597</v>
      </c>
      <c r="O12" s="202" t="s">
        <v>207</v>
      </c>
      <c r="P12" s="203"/>
      <c r="Q12" s="204"/>
    </row>
    <row r="13" spans="1:18" hidden="1">
      <c r="A13" s="206" t="s">
        <v>196</v>
      </c>
      <c r="B13" s="207">
        <v>0</v>
      </c>
      <c r="C13" s="208">
        <v>166637.9</v>
      </c>
      <c r="D13" s="209">
        <v>166637.9</v>
      </c>
      <c r="E13" s="210"/>
      <c r="F13" s="208">
        <v>99999</v>
      </c>
      <c r="G13" s="207"/>
      <c r="H13" s="208"/>
      <c r="I13" s="210"/>
      <c r="J13" s="208">
        <v>1153.46</v>
      </c>
      <c r="K13" s="210"/>
      <c r="L13" s="208"/>
      <c r="M13" s="207">
        <v>0</v>
      </c>
      <c r="N13" s="208">
        <v>265483.44</v>
      </c>
      <c r="O13" s="211">
        <v>265483.44</v>
      </c>
      <c r="P13" s="210" t="s">
        <v>197</v>
      </c>
      <c r="Q13" s="204"/>
      <c r="R13" s="232">
        <f>O13-D13</f>
        <v>98845.540000000008</v>
      </c>
    </row>
    <row r="14" spans="1:18" hidden="1">
      <c r="A14" s="206" t="s">
        <v>198</v>
      </c>
      <c r="B14" s="207">
        <v>3399.360000000001</v>
      </c>
      <c r="C14" s="208">
        <v>0</v>
      </c>
      <c r="D14" s="209">
        <v>539.58095238095245</v>
      </c>
      <c r="E14" s="207"/>
      <c r="F14" s="210"/>
      <c r="G14" s="207">
        <v>10000</v>
      </c>
      <c r="H14" s="210"/>
      <c r="I14" s="207">
        <v>2364.96</v>
      </c>
      <c r="J14" s="210"/>
      <c r="K14" s="207"/>
      <c r="L14" s="210"/>
      <c r="M14" s="207">
        <v>11034.4</v>
      </c>
      <c r="N14" s="208">
        <v>0</v>
      </c>
      <c r="O14" s="211">
        <v>1751.4920634920643</v>
      </c>
      <c r="P14" s="210" t="s">
        <v>199</v>
      </c>
      <c r="Q14" s="204"/>
      <c r="R14" s="232">
        <f t="shared" ref="R14:R17" si="1">O14-D14</f>
        <v>1211.9111111111119</v>
      </c>
    </row>
    <row r="15" spans="1:18" hidden="1">
      <c r="A15" s="206" t="s">
        <v>200</v>
      </c>
      <c r="B15" s="207">
        <v>76831.329999999987</v>
      </c>
      <c r="C15" s="208">
        <v>0</v>
      </c>
      <c r="D15" s="209">
        <v>12195.449206349211</v>
      </c>
      <c r="E15" s="207"/>
      <c r="F15" s="210"/>
      <c r="G15" s="207"/>
      <c r="H15" s="208"/>
      <c r="I15" s="207">
        <v>32016</v>
      </c>
      <c r="J15" s="210"/>
      <c r="K15" s="207">
        <v>25000</v>
      </c>
      <c r="L15" s="208"/>
      <c r="M15" s="207">
        <v>19815.329999999987</v>
      </c>
      <c r="N15" s="208">
        <v>0</v>
      </c>
      <c r="O15" s="211">
        <v>3145.2904761904742</v>
      </c>
      <c r="P15" s="210" t="s">
        <v>201</v>
      </c>
      <c r="Q15" s="204"/>
      <c r="R15" s="232">
        <f t="shared" si="1"/>
        <v>-9050.1587301587369</v>
      </c>
    </row>
    <row r="16" spans="1:18" hidden="1">
      <c r="A16" s="206" t="s">
        <v>202</v>
      </c>
      <c r="B16" s="207">
        <v>199720.62</v>
      </c>
      <c r="C16" s="208">
        <v>5009.76</v>
      </c>
      <c r="D16" s="209">
        <v>36711.445714285706</v>
      </c>
      <c r="E16" s="207"/>
      <c r="F16" s="208"/>
      <c r="G16" s="207"/>
      <c r="H16" s="210"/>
      <c r="I16" s="207"/>
      <c r="J16" s="210"/>
      <c r="K16" s="207"/>
      <c r="L16" s="210"/>
      <c r="M16" s="207">
        <v>199720.62</v>
      </c>
      <c r="N16" s="208">
        <v>5009.76</v>
      </c>
      <c r="O16" s="211">
        <v>36711.445714285706</v>
      </c>
      <c r="P16" s="210" t="s">
        <v>199</v>
      </c>
      <c r="Q16" s="204"/>
      <c r="R16" s="232">
        <f t="shared" si="1"/>
        <v>0</v>
      </c>
    </row>
    <row r="17" spans="1:18" s="284" customFormat="1" hidden="1">
      <c r="A17" s="212" t="s">
        <v>209</v>
      </c>
      <c r="B17" s="213">
        <v>279951.31</v>
      </c>
      <c r="C17" s="214">
        <v>171647.66</v>
      </c>
      <c r="D17" s="211">
        <v>216084.37587301593</v>
      </c>
      <c r="E17" s="215"/>
      <c r="F17" s="215"/>
      <c r="G17" s="215"/>
      <c r="H17" s="215"/>
      <c r="I17" s="213">
        <v>49380.959999999999</v>
      </c>
      <c r="J17" s="214">
        <v>1153.46</v>
      </c>
      <c r="K17" s="215"/>
      <c r="L17" s="215"/>
      <c r="M17" s="213">
        <v>230570.35</v>
      </c>
      <c r="N17" s="214">
        <v>270493.2</v>
      </c>
      <c r="O17" s="211">
        <v>307091.66825396812</v>
      </c>
      <c r="P17" s="215"/>
      <c r="Q17" s="211">
        <f>O17-D17</f>
        <v>91007.292380952189</v>
      </c>
      <c r="R17" s="233">
        <f t="shared" si="1"/>
        <v>91007.292380952189</v>
      </c>
    </row>
    <row r="18" spans="1:18" hidden="1">
      <c r="A18" s="216" t="s">
        <v>203</v>
      </c>
      <c r="B18" s="203"/>
      <c r="C18" s="203"/>
      <c r="D18" s="204"/>
      <c r="E18" s="203"/>
      <c r="F18" s="203"/>
      <c r="G18" s="203"/>
      <c r="H18" s="203"/>
      <c r="I18" s="208">
        <v>7838.2476190476191</v>
      </c>
      <c r="J18" s="208">
        <v>8991.7076190476146</v>
      </c>
      <c r="K18" s="203"/>
      <c r="L18" s="203"/>
      <c r="M18" s="203"/>
      <c r="N18" s="203"/>
      <c r="O18" s="212"/>
      <c r="P18" s="203"/>
      <c r="Q18" s="204"/>
    </row>
    <row r="19" spans="1:18" hidden="1">
      <c r="A19" s="216">
        <v>6.3</v>
      </c>
      <c r="B19" s="203"/>
      <c r="C19" s="203"/>
      <c r="D19" s="204"/>
      <c r="E19" s="203"/>
      <c r="F19" s="203"/>
      <c r="G19" s="203"/>
      <c r="H19" s="203"/>
      <c r="I19" s="208"/>
      <c r="J19" s="208"/>
      <c r="K19" s="203"/>
      <c r="L19" s="203"/>
      <c r="M19" s="203"/>
      <c r="N19" s="203"/>
      <c r="O19" s="212"/>
      <c r="P19" s="203"/>
      <c r="Q19" s="204"/>
    </row>
    <row r="20" spans="1:18" hidden="1">
      <c r="A20" s="203"/>
      <c r="B20" s="203"/>
      <c r="C20" s="203"/>
      <c r="D20" s="204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12"/>
      <c r="P20" s="203"/>
      <c r="Q20" s="204"/>
    </row>
    <row r="21" spans="1:18" s="282" customFormat="1" hidden="1">
      <c r="A21" s="200">
        <v>40969</v>
      </c>
      <c r="B21" s="561" t="s">
        <v>204</v>
      </c>
      <c r="C21" s="561"/>
      <c r="D21" s="561"/>
      <c r="E21" s="562" t="s">
        <v>190</v>
      </c>
      <c r="F21" s="562"/>
      <c r="G21" s="562" t="s">
        <v>191</v>
      </c>
      <c r="H21" s="562"/>
      <c r="I21" s="562" t="s">
        <v>192</v>
      </c>
      <c r="J21" s="562"/>
      <c r="K21" s="562" t="s">
        <v>193</v>
      </c>
      <c r="L21" s="562"/>
      <c r="M21" s="563" t="s">
        <v>205</v>
      </c>
      <c r="N21" s="563"/>
      <c r="O21" s="563"/>
      <c r="P21" s="252" t="s">
        <v>194</v>
      </c>
      <c r="Q21" s="217"/>
      <c r="R21" s="234" t="s">
        <v>996</v>
      </c>
    </row>
    <row r="22" spans="1:18" hidden="1">
      <c r="A22" s="202" t="s">
        <v>195</v>
      </c>
      <c r="B22" s="202" t="s">
        <v>596</v>
      </c>
      <c r="C22" s="202" t="s">
        <v>597</v>
      </c>
      <c r="D22" s="202" t="s">
        <v>207</v>
      </c>
      <c r="E22" s="202" t="s">
        <v>596</v>
      </c>
      <c r="F22" s="202" t="s">
        <v>597</v>
      </c>
      <c r="G22" s="202" t="s">
        <v>596</v>
      </c>
      <c r="H22" s="202" t="s">
        <v>597</v>
      </c>
      <c r="I22" s="202" t="s">
        <v>596</v>
      </c>
      <c r="J22" s="202" t="s">
        <v>597</v>
      </c>
      <c r="K22" s="202" t="s">
        <v>596</v>
      </c>
      <c r="L22" s="202" t="s">
        <v>597</v>
      </c>
      <c r="M22" s="202" t="s">
        <v>596</v>
      </c>
      <c r="N22" s="202" t="s">
        <v>597</v>
      </c>
      <c r="O22" s="202" t="s">
        <v>207</v>
      </c>
      <c r="P22" s="203"/>
      <c r="Q22" s="204"/>
    </row>
    <row r="23" spans="1:18" hidden="1">
      <c r="A23" s="206" t="s">
        <v>196</v>
      </c>
      <c r="B23" s="207">
        <v>0</v>
      </c>
      <c r="C23" s="208">
        <v>265483.44</v>
      </c>
      <c r="D23" s="209">
        <v>265483.44</v>
      </c>
      <c r="E23" s="210"/>
      <c r="F23" s="208">
        <v>5750</v>
      </c>
      <c r="G23" s="207"/>
      <c r="H23" s="208"/>
      <c r="I23" s="210"/>
      <c r="J23" s="208">
        <v>12139.21</v>
      </c>
      <c r="K23" s="210"/>
      <c r="L23" s="208"/>
      <c r="M23" s="207">
        <v>0</v>
      </c>
      <c r="N23" s="208">
        <v>259094.23</v>
      </c>
      <c r="O23" s="211">
        <v>259094.23</v>
      </c>
      <c r="P23" s="210" t="s">
        <v>197</v>
      </c>
      <c r="Q23" s="204"/>
      <c r="R23" s="232">
        <f>O23-D23</f>
        <v>-6389.2099999999919</v>
      </c>
    </row>
    <row r="24" spans="1:18" hidden="1">
      <c r="A24" s="206" t="s">
        <v>198</v>
      </c>
      <c r="B24" s="207">
        <v>11034.4</v>
      </c>
      <c r="C24" s="208">
        <v>0</v>
      </c>
      <c r="D24" s="209">
        <v>1749.2430367305528</v>
      </c>
      <c r="E24" s="207">
        <v>7.7699999999999987</v>
      </c>
      <c r="F24" s="210"/>
      <c r="G24" s="210"/>
      <c r="H24" s="210"/>
      <c r="I24" s="207">
        <v>3152.84</v>
      </c>
      <c r="J24" s="210"/>
      <c r="K24" s="207"/>
      <c r="L24" s="210"/>
      <c r="M24" s="207">
        <v>7889.3300000000017</v>
      </c>
      <c r="N24" s="208">
        <v>0</v>
      </c>
      <c r="O24" s="211">
        <v>1250.6666032561309</v>
      </c>
      <c r="P24" s="210" t="s">
        <v>199</v>
      </c>
      <c r="Q24" s="204"/>
      <c r="R24" s="232">
        <f t="shared" ref="R24:R27" si="2">O24-D24</f>
        <v>-498.57643347442195</v>
      </c>
    </row>
    <row r="25" spans="1:18" hidden="1">
      <c r="A25" s="206" t="s">
        <v>200</v>
      </c>
      <c r="B25" s="207">
        <v>19815.329999999987</v>
      </c>
      <c r="C25" s="208">
        <v>0</v>
      </c>
      <c r="D25" s="209">
        <v>3141.2517239739364</v>
      </c>
      <c r="E25" s="207">
        <v>74.83</v>
      </c>
      <c r="F25" s="210"/>
      <c r="G25" s="207"/>
      <c r="H25" s="208"/>
      <c r="I25" s="207"/>
      <c r="J25" s="210"/>
      <c r="K25" s="207"/>
      <c r="L25" s="208"/>
      <c r="M25" s="207">
        <v>19890.159999999985</v>
      </c>
      <c r="N25" s="208">
        <v>0</v>
      </c>
      <c r="O25" s="211">
        <v>3153.1142499326247</v>
      </c>
      <c r="P25" s="210" t="s">
        <v>201</v>
      </c>
      <c r="Q25" s="204"/>
      <c r="R25" s="232">
        <f t="shared" si="2"/>
        <v>11.862525958688366</v>
      </c>
    </row>
    <row r="26" spans="1:18" hidden="1">
      <c r="A26" s="206" t="s">
        <v>202</v>
      </c>
      <c r="B26" s="207">
        <v>199720.62</v>
      </c>
      <c r="C26" s="208">
        <v>5009.76</v>
      </c>
      <c r="D26" s="209">
        <v>36670.738741617912</v>
      </c>
      <c r="E26" s="207">
        <v>252.42</v>
      </c>
      <c r="F26" s="208">
        <v>1.26</v>
      </c>
      <c r="G26" s="207"/>
      <c r="H26" s="210"/>
      <c r="I26" s="207"/>
      <c r="J26" s="210"/>
      <c r="K26" s="207"/>
      <c r="L26" s="210"/>
      <c r="M26" s="207">
        <v>199973.04</v>
      </c>
      <c r="N26" s="208">
        <v>5011.0200000000004</v>
      </c>
      <c r="O26" s="211">
        <v>36712.013960146483</v>
      </c>
      <c r="P26" s="210" t="s">
        <v>199</v>
      </c>
      <c r="Q26" s="204"/>
      <c r="R26" s="232">
        <f t="shared" si="2"/>
        <v>41.275218528571713</v>
      </c>
    </row>
    <row r="27" spans="1:18" s="284" customFormat="1" hidden="1">
      <c r="A27" s="212" t="s">
        <v>209</v>
      </c>
      <c r="B27" s="213">
        <v>230570.35</v>
      </c>
      <c r="C27" s="214">
        <v>270493.2</v>
      </c>
      <c r="D27" s="211">
        <v>307044.67350232246</v>
      </c>
      <c r="E27" s="215"/>
      <c r="F27" s="215"/>
      <c r="G27" s="215"/>
      <c r="H27" s="215"/>
      <c r="I27" s="213">
        <v>3152.84</v>
      </c>
      <c r="J27" s="214">
        <v>12139.21</v>
      </c>
      <c r="K27" s="215"/>
      <c r="L27" s="215"/>
      <c r="M27" s="213">
        <v>227752.53</v>
      </c>
      <c r="N27" s="214">
        <v>264105.25</v>
      </c>
      <c r="O27" s="211">
        <v>300210.02481333521</v>
      </c>
      <c r="P27" s="215"/>
      <c r="Q27" s="211">
        <f>O27-D27</f>
        <v>-6834.6486889872467</v>
      </c>
      <c r="R27" s="233">
        <f t="shared" si="2"/>
        <v>-6834.6486889872467</v>
      </c>
    </row>
    <row r="28" spans="1:18" hidden="1">
      <c r="A28" s="216" t="s">
        <v>203</v>
      </c>
      <c r="B28" s="207"/>
      <c r="C28" s="208"/>
      <c r="D28" s="209"/>
      <c r="E28" s="210"/>
      <c r="F28" s="210"/>
      <c r="G28" s="210"/>
      <c r="H28" s="210"/>
      <c r="I28" s="208">
        <v>499.80818312962703</v>
      </c>
      <c r="J28" s="208">
        <v>12639.018183129629</v>
      </c>
      <c r="K28" s="210"/>
      <c r="L28" s="210"/>
      <c r="M28" s="207"/>
      <c r="N28" s="208"/>
      <c r="O28" s="211"/>
      <c r="P28" s="210"/>
      <c r="Q28" s="204"/>
    </row>
    <row r="29" spans="1:18" hidden="1">
      <c r="A29" s="216">
        <v>6.3080999999999996</v>
      </c>
      <c r="B29" s="203"/>
      <c r="C29" s="203"/>
      <c r="D29" s="204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12"/>
      <c r="P29" s="203"/>
      <c r="Q29" s="204"/>
    </row>
    <row r="30" spans="1:18" hidden="1">
      <c r="A30" s="203"/>
      <c r="B30" s="203"/>
      <c r="C30" s="203"/>
      <c r="D30" s="204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12"/>
      <c r="P30" s="203"/>
      <c r="Q30" s="204"/>
    </row>
    <row r="31" spans="1:18" s="282" customFormat="1" hidden="1">
      <c r="A31" s="200">
        <v>41000</v>
      </c>
      <c r="B31" s="561" t="s">
        <v>204</v>
      </c>
      <c r="C31" s="561"/>
      <c r="D31" s="561"/>
      <c r="E31" s="562" t="s">
        <v>190</v>
      </c>
      <c r="F31" s="562"/>
      <c r="G31" s="562" t="s">
        <v>191</v>
      </c>
      <c r="H31" s="562"/>
      <c r="I31" s="562" t="s">
        <v>192</v>
      </c>
      <c r="J31" s="562"/>
      <c r="K31" s="562" t="s">
        <v>193</v>
      </c>
      <c r="L31" s="562"/>
      <c r="M31" s="563" t="s">
        <v>205</v>
      </c>
      <c r="N31" s="563"/>
      <c r="O31" s="563"/>
      <c r="P31" s="252" t="s">
        <v>194</v>
      </c>
      <c r="Q31" s="217"/>
      <c r="R31" s="234" t="s">
        <v>996</v>
      </c>
    </row>
    <row r="32" spans="1:18" hidden="1">
      <c r="A32" s="202" t="s">
        <v>195</v>
      </c>
      <c r="B32" s="202" t="s">
        <v>596</v>
      </c>
      <c r="C32" s="202" t="s">
        <v>597</v>
      </c>
      <c r="D32" s="202" t="s">
        <v>207</v>
      </c>
      <c r="E32" s="202" t="s">
        <v>596</v>
      </c>
      <c r="F32" s="202" t="s">
        <v>597</v>
      </c>
      <c r="G32" s="202" t="s">
        <v>596</v>
      </c>
      <c r="H32" s="202" t="s">
        <v>597</v>
      </c>
      <c r="I32" s="202" t="s">
        <v>596</v>
      </c>
      <c r="J32" s="202" t="s">
        <v>597</v>
      </c>
      <c r="K32" s="202" t="s">
        <v>596</v>
      </c>
      <c r="L32" s="202" t="s">
        <v>597</v>
      </c>
      <c r="M32" s="202" t="s">
        <v>596</v>
      </c>
      <c r="N32" s="202" t="s">
        <v>597</v>
      </c>
      <c r="O32" s="202" t="s">
        <v>207</v>
      </c>
      <c r="P32" s="203"/>
      <c r="Q32" s="204"/>
    </row>
    <row r="33" spans="1:18" hidden="1">
      <c r="A33" s="206" t="s">
        <v>196</v>
      </c>
      <c r="B33" s="207">
        <v>0</v>
      </c>
      <c r="C33" s="208">
        <v>259094.23</v>
      </c>
      <c r="D33" s="209">
        <v>259094.23</v>
      </c>
      <c r="E33" s="210"/>
      <c r="F33" s="208"/>
      <c r="G33" s="207"/>
      <c r="H33" s="208"/>
      <c r="I33" s="210"/>
      <c r="J33" s="208"/>
      <c r="K33" s="210"/>
      <c r="L33" s="208"/>
      <c r="M33" s="207">
        <v>0</v>
      </c>
      <c r="N33" s="208">
        <v>259094.23</v>
      </c>
      <c r="O33" s="211">
        <v>259094.23</v>
      </c>
      <c r="P33" s="210" t="s">
        <v>197</v>
      </c>
      <c r="Q33" s="204"/>
      <c r="R33" s="232">
        <f>O33-D33</f>
        <v>0</v>
      </c>
    </row>
    <row r="34" spans="1:18" hidden="1">
      <c r="A34" s="206" t="s">
        <v>198</v>
      </c>
      <c r="B34" s="207">
        <v>7889.3300000000017</v>
      </c>
      <c r="C34" s="208">
        <v>0</v>
      </c>
      <c r="D34" s="209">
        <v>1252.9507988438208</v>
      </c>
      <c r="E34" s="207"/>
      <c r="F34" s="210"/>
      <c r="G34" s="210"/>
      <c r="H34" s="210"/>
      <c r="I34" s="207">
        <v>1964.12</v>
      </c>
      <c r="J34" s="210"/>
      <c r="K34" s="207"/>
      <c r="L34" s="210"/>
      <c r="M34" s="207">
        <v>5925.2100000000019</v>
      </c>
      <c r="N34" s="208">
        <v>0</v>
      </c>
      <c r="O34" s="211">
        <v>941.01737445605602</v>
      </c>
      <c r="P34" s="210" t="s">
        <v>199</v>
      </c>
      <c r="Q34" s="204"/>
      <c r="R34" s="232">
        <f t="shared" ref="R34:R37" si="3">O34-D34</f>
        <v>-311.93342438776483</v>
      </c>
    </row>
    <row r="35" spans="1:18" hidden="1">
      <c r="A35" s="206" t="s">
        <v>200</v>
      </c>
      <c r="B35" s="207">
        <v>19890.159999999985</v>
      </c>
      <c r="C35" s="208">
        <v>0</v>
      </c>
      <c r="D35" s="209">
        <v>3158.873042594415</v>
      </c>
      <c r="E35" s="207"/>
      <c r="F35" s="210"/>
      <c r="G35" s="207"/>
      <c r="H35" s="208"/>
      <c r="I35" s="207"/>
      <c r="J35" s="210"/>
      <c r="K35" s="207"/>
      <c r="L35" s="208"/>
      <c r="M35" s="207">
        <v>19890.159999999985</v>
      </c>
      <c r="N35" s="208">
        <v>0</v>
      </c>
      <c r="O35" s="211">
        <v>3158.873042594415</v>
      </c>
      <c r="P35" s="210" t="s">
        <v>201</v>
      </c>
      <c r="Q35" s="204"/>
      <c r="R35" s="232">
        <f t="shared" si="3"/>
        <v>0</v>
      </c>
    </row>
    <row r="36" spans="1:18" hidden="1">
      <c r="A36" s="206" t="s">
        <v>202</v>
      </c>
      <c r="B36" s="207">
        <v>199973.04</v>
      </c>
      <c r="C36" s="208">
        <v>5011.0200000000004</v>
      </c>
      <c r="D36" s="209">
        <v>36769.912100498688</v>
      </c>
      <c r="E36" s="207"/>
      <c r="F36" s="208"/>
      <c r="G36" s="207"/>
      <c r="H36" s="210"/>
      <c r="I36" s="207"/>
      <c r="J36" s="210"/>
      <c r="K36" s="207"/>
      <c r="L36" s="210"/>
      <c r="M36" s="207">
        <v>199973.04</v>
      </c>
      <c r="N36" s="208">
        <v>5011.0200000000004</v>
      </c>
      <c r="O36" s="211">
        <v>36769.912100498688</v>
      </c>
      <c r="P36" s="210" t="s">
        <v>199</v>
      </c>
      <c r="Q36" s="204"/>
      <c r="R36" s="232">
        <f t="shared" si="3"/>
        <v>0</v>
      </c>
    </row>
    <row r="37" spans="1:18" s="284" customFormat="1" hidden="1">
      <c r="A37" s="212" t="s">
        <v>209</v>
      </c>
      <c r="B37" s="213">
        <v>227752.53</v>
      </c>
      <c r="C37" s="214">
        <v>264105.25</v>
      </c>
      <c r="D37" s="211">
        <v>300275.96594193688</v>
      </c>
      <c r="E37" s="215"/>
      <c r="F37" s="215"/>
      <c r="G37" s="215"/>
      <c r="H37" s="215"/>
      <c r="I37" s="213">
        <v>1964.12</v>
      </c>
      <c r="J37" s="215"/>
      <c r="K37" s="215"/>
      <c r="L37" s="215"/>
      <c r="M37" s="213">
        <v>225788.41</v>
      </c>
      <c r="N37" s="214">
        <v>264105.25</v>
      </c>
      <c r="O37" s="211">
        <v>299964.03251754917</v>
      </c>
      <c r="P37" s="215"/>
      <c r="Q37" s="211">
        <f>O37-D37</f>
        <v>-311.93342438770924</v>
      </c>
      <c r="R37" s="233">
        <f t="shared" si="3"/>
        <v>-311.93342438770924</v>
      </c>
    </row>
    <row r="38" spans="1:18" hidden="1">
      <c r="A38" s="216" t="s">
        <v>203</v>
      </c>
      <c r="B38" s="207"/>
      <c r="C38" s="208"/>
      <c r="D38" s="209"/>
      <c r="E38" s="210"/>
      <c r="F38" s="210"/>
      <c r="G38" s="210"/>
      <c r="H38" s="210"/>
      <c r="I38" s="208">
        <v>311.93342438776477</v>
      </c>
      <c r="J38" s="208">
        <v>311.93342438776477</v>
      </c>
      <c r="K38" s="210"/>
      <c r="L38" s="210"/>
      <c r="M38" s="207"/>
      <c r="N38" s="208"/>
      <c r="O38" s="211"/>
      <c r="P38" s="210"/>
      <c r="Q38" s="204"/>
    </row>
    <row r="39" spans="1:18" hidden="1">
      <c r="A39" s="216">
        <v>6.2965999999999998</v>
      </c>
      <c r="B39" s="203"/>
      <c r="C39" s="203"/>
      <c r="D39" s="204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12"/>
      <c r="P39" s="203"/>
      <c r="Q39" s="204"/>
    </row>
    <row r="40" spans="1:18" hidden="1">
      <c r="A40" s="203"/>
      <c r="B40" s="203"/>
      <c r="C40" s="203"/>
      <c r="D40" s="204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12"/>
      <c r="P40" s="203"/>
      <c r="Q40" s="204"/>
    </row>
    <row r="41" spans="1:18" s="282" customFormat="1" hidden="1">
      <c r="A41" s="200">
        <v>41030</v>
      </c>
      <c r="B41" s="561" t="s">
        <v>204</v>
      </c>
      <c r="C41" s="561"/>
      <c r="D41" s="561"/>
      <c r="E41" s="562" t="s">
        <v>190</v>
      </c>
      <c r="F41" s="562"/>
      <c r="G41" s="562" t="s">
        <v>191</v>
      </c>
      <c r="H41" s="562"/>
      <c r="I41" s="562" t="s">
        <v>192</v>
      </c>
      <c r="J41" s="562"/>
      <c r="K41" s="562" t="s">
        <v>193</v>
      </c>
      <c r="L41" s="562"/>
      <c r="M41" s="563" t="s">
        <v>205</v>
      </c>
      <c r="N41" s="563"/>
      <c r="O41" s="563"/>
      <c r="P41" s="252" t="s">
        <v>194</v>
      </c>
      <c r="Q41" s="217"/>
      <c r="R41" s="234" t="s">
        <v>996</v>
      </c>
    </row>
    <row r="42" spans="1:18" hidden="1">
      <c r="A42" s="202" t="s">
        <v>195</v>
      </c>
      <c r="B42" s="202" t="s">
        <v>596</v>
      </c>
      <c r="C42" s="202" t="s">
        <v>597</v>
      </c>
      <c r="D42" s="202" t="s">
        <v>207</v>
      </c>
      <c r="E42" s="202" t="s">
        <v>596</v>
      </c>
      <c r="F42" s="202" t="s">
        <v>597</v>
      </c>
      <c r="G42" s="202" t="s">
        <v>596</v>
      </c>
      <c r="H42" s="202" t="s">
        <v>597</v>
      </c>
      <c r="I42" s="202" t="s">
        <v>596</v>
      </c>
      <c r="J42" s="202" t="s">
        <v>597</v>
      </c>
      <c r="K42" s="202" t="s">
        <v>596</v>
      </c>
      <c r="L42" s="202" t="s">
        <v>597</v>
      </c>
      <c r="M42" s="202" t="s">
        <v>596</v>
      </c>
      <c r="N42" s="202" t="s">
        <v>597</v>
      </c>
      <c r="O42" s="202" t="s">
        <v>207</v>
      </c>
      <c r="P42" s="203"/>
      <c r="Q42" s="204"/>
    </row>
    <row r="43" spans="1:18" hidden="1">
      <c r="A43" s="206" t="s">
        <v>196</v>
      </c>
      <c r="B43" s="207">
        <v>0</v>
      </c>
      <c r="C43" s="208">
        <v>259094.23</v>
      </c>
      <c r="D43" s="209">
        <v>259094.23</v>
      </c>
      <c r="E43" s="210"/>
      <c r="F43" s="208"/>
      <c r="G43" s="207"/>
      <c r="H43" s="208"/>
      <c r="I43" s="210"/>
      <c r="J43" s="208">
        <v>3639.45</v>
      </c>
      <c r="K43" s="210"/>
      <c r="L43" s="208"/>
      <c r="M43" s="207">
        <v>0</v>
      </c>
      <c r="N43" s="208">
        <v>255454.78</v>
      </c>
      <c r="O43" s="211">
        <v>255454.78</v>
      </c>
      <c r="P43" s="210" t="s">
        <v>197</v>
      </c>
      <c r="Q43" s="204"/>
      <c r="R43" s="232">
        <f>O43-D43</f>
        <v>-3639.4500000000116</v>
      </c>
    </row>
    <row r="44" spans="1:18" hidden="1">
      <c r="A44" s="206" t="s">
        <v>198</v>
      </c>
      <c r="B44" s="207">
        <v>5925.2100000000019</v>
      </c>
      <c r="C44" s="208">
        <v>0</v>
      </c>
      <c r="D44" s="209">
        <v>939.58485300180814</v>
      </c>
      <c r="E44" s="207"/>
      <c r="F44" s="210"/>
      <c r="G44" s="210"/>
      <c r="H44" s="210"/>
      <c r="I44" s="207">
        <v>3272.12</v>
      </c>
      <c r="J44" s="210"/>
      <c r="K44" s="207"/>
      <c r="L44" s="210"/>
      <c r="M44" s="207">
        <v>2653.090000000002</v>
      </c>
      <c r="N44" s="208">
        <v>0</v>
      </c>
      <c r="O44" s="211">
        <v>420.71136342012659</v>
      </c>
      <c r="P44" s="210" t="s">
        <v>199</v>
      </c>
      <c r="Q44" s="204"/>
      <c r="R44" s="232">
        <f t="shared" ref="R44:R47" si="4">O44-D44</f>
        <v>-518.8734895816815</v>
      </c>
    </row>
    <row r="45" spans="1:18" hidden="1">
      <c r="A45" s="206" t="s">
        <v>200</v>
      </c>
      <c r="B45" s="207">
        <v>19890.159999999985</v>
      </c>
      <c r="C45" s="208">
        <v>0</v>
      </c>
      <c r="D45" s="209">
        <v>3154.064254225998</v>
      </c>
      <c r="E45" s="207"/>
      <c r="F45" s="210"/>
      <c r="G45" s="207">
        <v>38650</v>
      </c>
      <c r="H45" s="208"/>
      <c r="I45" s="207"/>
      <c r="J45" s="210"/>
      <c r="K45" s="207"/>
      <c r="L45" s="208"/>
      <c r="M45" s="207">
        <v>58540.159999999989</v>
      </c>
      <c r="N45" s="208">
        <v>0</v>
      </c>
      <c r="O45" s="211">
        <v>9282.9532840696447</v>
      </c>
      <c r="P45" s="210" t="s">
        <v>201</v>
      </c>
      <c r="Q45" s="204"/>
      <c r="R45" s="232">
        <f t="shared" si="4"/>
        <v>6128.8890298436472</v>
      </c>
    </row>
    <row r="46" spans="1:18" hidden="1">
      <c r="A46" s="206" t="s">
        <v>202</v>
      </c>
      <c r="B46" s="207">
        <v>199973.04</v>
      </c>
      <c r="C46" s="208">
        <v>5011.0200000000004</v>
      </c>
      <c r="D46" s="209">
        <v>36721.565177761564</v>
      </c>
      <c r="E46" s="207"/>
      <c r="F46" s="208"/>
      <c r="G46" s="207"/>
      <c r="H46" s="210"/>
      <c r="I46" s="207"/>
      <c r="J46" s="210"/>
      <c r="K46" s="207"/>
      <c r="L46" s="210"/>
      <c r="M46" s="207">
        <v>199973.04</v>
      </c>
      <c r="N46" s="208">
        <v>5011.0200000000004</v>
      </c>
      <c r="O46" s="211">
        <v>36721.565177761564</v>
      </c>
      <c r="P46" s="210" t="s">
        <v>199</v>
      </c>
      <c r="Q46" s="204"/>
      <c r="R46" s="232">
        <f t="shared" si="4"/>
        <v>0</v>
      </c>
    </row>
    <row r="47" spans="1:18" s="284" customFormat="1" hidden="1">
      <c r="A47" s="212" t="s">
        <v>209</v>
      </c>
      <c r="B47" s="213">
        <v>225788.41</v>
      </c>
      <c r="C47" s="214">
        <v>264105.25</v>
      </c>
      <c r="D47" s="211">
        <v>299909.44428498944</v>
      </c>
      <c r="E47" s="215"/>
      <c r="F47" s="215"/>
      <c r="G47" s="215"/>
      <c r="H47" s="215"/>
      <c r="I47" s="213">
        <v>3272.12</v>
      </c>
      <c r="J47" s="214">
        <v>3639.45</v>
      </c>
      <c r="K47" s="215"/>
      <c r="L47" s="215"/>
      <c r="M47" s="213">
        <v>261166.29</v>
      </c>
      <c r="N47" s="214">
        <v>260465.8</v>
      </c>
      <c r="O47" s="211">
        <v>301880.00982525136</v>
      </c>
      <c r="P47" s="215"/>
      <c r="Q47" s="211">
        <f>O47-D47</f>
        <v>1970.5655402619159</v>
      </c>
      <c r="R47" s="233">
        <f t="shared" si="4"/>
        <v>1970.5655402619159</v>
      </c>
    </row>
    <row r="48" spans="1:18" hidden="1">
      <c r="A48" s="216" t="s">
        <v>203</v>
      </c>
      <c r="B48" s="207"/>
      <c r="C48" s="208"/>
      <c r="D48" s="209"/>
      <c r="E48" s="210"/>
      <c r="F48" s="210"/>
      <c r="G48" s="210"/>
      <c r="H48" s="210"/>
      <c r="I48" s="208">
        <v>518.87348958168161</v>
      </c>
      <c r="J48" s="208">
        <v>4158.3234895816804</v>
      </c>
      <c r="K48" s="210"/>
      <c r="L48" s="210"/>
      <c r="M48" s="207"/>
      <c r="N48" s="208"/>
      <c r="O48" s="211"/>
      <c r="P48" s="210"/>
      <c r="Q48" s="204"/>
    </row>
    <row r="49" spans="1:18" hidden="1">
      <c r="A49" s="216">
        <v>6.3061999999999996</v>
      </c>
      <c r="B49" s="203"/>
      <c r="C49" s="203"/>
      <c r="D49" s="204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12"/>
      <c r="P49" s="203"/>
      <c r="Q49" s="204"/>
    </row>
    <row r="50" spans="1:18" hidden="1">
      <c r="A50" s="203"/>
      <c r="B50" s="203"/>
      <c r="C50" s="203"/>
      <c r="D50" s="204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12"/>
      <c r="P50" s="203"/>
      <c r="Q50" s="204"/>
    </row>
    <row r="51" spans="1:18" s="282" customFormat="1" hidden="1">
      <c r="A51" s="200">
        <v>41061</v>
      </c>
      <c r="B51" s="561" t="s">
        <v>204</v>
      </c>
      <c r="C51" s="561"/>
      <c r="D51" s="561"/>
      <c r="E51" s="562" t="s">
        <v>190</v>
      </c>
      <c r="F51" s="562"/>
      <c r="G51" s="562" t="s">
        <v>191</v>
      </c>
      <c r="H51" s="562"/>
      <c r="I51" s="562" t="s">
        <v>192</v>
      </c>
      <c r="J51" s="562"/>
      <c r="K51" s="562" t="s">
        <v>193</v>
      </c>
      <c r="L51" s="562"/>
      <c r="M51" s="563" t="s">
        <v>205</v>
      </c>
      <c r="N51" s="563"/>
      <c r="O51" s="563"/>
      <c r="P51" s="252" t="s">
        <v>194</v>
      </c>
      <c r="Q51" s="217"/>
      <c r="R51" s="234" t="s">
        <v>996</v>
      </c>
    </row>
    <row r="52" spans="1:18" hidden="1">
      <c r="A52" s="202" t="s">
        <v>195</v>
      </c>
      <c r="B52" s="202" t="s">
        <v>596</v>
      </c>
      <c r="C52" s="202" t="s">
        <v>597</v>
      </c>
      <c r="D52" s="202" t="s">
        <v>207</v>
      </c>
      <c r="E52" s="202" t="s">
        <v>596</v>
      </c>
      <c r="F52" s="202" t="s">
        <v>597</v>
      </c>
      <c r="G52" s="202" t="s">
        <v>596</v>
      </c>
      <c r="H52" s="202" t="s">
        <v>597</v>
      </c>
      <c r="I52" s="202" t="s">
        <v>596</v>
      </c>
      <c r="J52" s="202" t="s">
        <v>597</v>
      </c>
      <c r="K52" s="202" t="s">
        <v>596</v>
      </c>
      <c r="L52" s="202" t="s">
        <v>597</v>
      </c>
      <c r="M52" s="202" t="s">
        <v>596</v>
      </c>
      <c r="N52" s="202" t="s">
        <v>597</v>
      </c>
      <c r="O52" s="202" t="s">
        <v>207</v>
      </c>
      <c r="P52" s="203"/>
      <c r="Q52" s="204"/>
    </row>
    <row r="53" spans="1:18" hidden="1">
      <c r="A53" s="206" t="s">
        <v>196</v>
      </c>
      <c r="B53" s="207">
        <v>0</v>
      </c>
      <c r="C53" s="208">
        <v>255454.78</v>
      </c>
      <c r="D53" s="209">
        <v>255454.78</v>
      </c>
      <c r="E53" s="210"/>
      <c r="F53" s="208">
        <v>30000</v>
      </c>
      <c r="G53" s="207"/>
      <c r="H53" s="208"/>
      <c r="I53" s="210"/>
      <c r="J53" s="208"/>
      <c r="K53" s="210"/>
      <c r="L53" s="208"/>
      <c r="M53" s="207">
        <v>0</v>
      </c>
      <c r="N53" s="208">
        <v>285454.78000000003</v>
      </c>
      <c r="O53" s="211">
        <v>285454.78000000003</v>
      </c>
      <c r="P53" s="210" t="s">
        <v>197</v>
      </c>
      <c r="Q53" s="204"/>
      <c r="R53" s="232">
        <f>O53-D53</f>
        <v>30000.000000000029</v>
      </c>
    </row>
    <row r="54" spans="1:18" hidden="1">
      <c r="A54" s="206" t="s">
        <v>198</v>
      </c>
      <c r="B54" s="207">
        <v>2653.090000000002</v>
      </c>
      <c r="C54" s="208">
        <v>0</v>
      </c>
      <c r="D54" s="209">
        <v>419.93890278261438</v>
      </c>
      <c r="E54" s="207">
        <v>6.26</v>
      </c>
      <c r="F54" s="210"/>
      <c r="G54" s="210"/>
      <c r="H54" s="210"/>
      <c r="I54" s="207">
        <v>2161.1999999999998</v>
      </c>
      <c r="J54" s="210"/>
      <c r="K54" s="207"/>
      <c r="L54" s="210"/>
      <c r="M54" s="207">
        <v>498.15000000000242</v>
      </c>
      <c r="N54" s="208">
        <v>0</v>
      </c>
      <c r="O54" s="211">
        <v>78.848649846465904</v>
      </c>
      <c r="P54" s="210" t="s">
        <v>199</v>
      </c>
      <c r="Q54" s="204"/>
      <c r="R54" s="232">
        <f t="shared" ref="R54:R57" si="5">O54-D54</f>
        <v>-341.09025293614849</v>
      </c>
    </row>
    <row r="55" spans="1:18" hidden="1">
      <c r="A55" s="206" t="s">
        <v>200</v>
      </c>
      <c r="B55" s="207">
        <v>58540.159999999989</v>
      </c>
      <c r="C55" s="208">
        <v>0</v>
      </c>
      <c r="D55" s="209">
        <v>9265.9090189622948</v>
      </c>
      <c r="E55" s="207">
        <v>32.29</v>
      </c>
      <c r="F55" s="210"/>
      <c r="G55" s="207"/>
      <c r="H55" s="208"/>
      <c r="I55" s="207">
        <v>7500</v>
      </c>
      <c r="J55" s="210"/>
      <c r="K55" s="207"/>
      <c r="L55" s="208"/>
      <c r="M55" s="207">
        <v>51072.44999999999</v>
      </c>
      <c r="N55" s="208">
        <v>0</v>
      </c>
      <c r="O55" s="211">
        <v>8083.8978758428539</v>
      </c>
      <c r="P55" s="210" t="s">
        <v>201</v>
      </c>
      <c r="Q55" s="204"/>
      <c r="R55" s="232">
        <f t="shared" si="5"/>
        <v>-1182.0111431194409</v>
      </c>
    </row>
    <row r="56" spans="1:18" hidden="1">
      <c r="A56" s="206" t="s">
        <v>202</v>
      </c>
      <c r="B56" s="207">
        <v>199973.04</v>
      </c>
      <c r="C56" s="208">
        <v>5011.0200000000004</v>
      </c>
      <c r="D56" s="209">
        <v>36663.342010826564</v>
      </c>
      <c r="E56" s="207">
        <v>224.86</v>
      </c>
      <c r="F56" s="208">
        <v>1.28</v>
      </c>
      <c r="G56" s="207"/>
      <c r="H56" s="210"/>
      <c r="I56" s="207"/>
      <c r="J56" s="210"/>
      <c r="K56" s="207">
        <v>15000</v>
      </c>
      <c r="L56" s="210"/>
      <c r="M56" s="207">
        <v>185197.9</v>
      </c>
      <c r="N56" s="208">
        <v>5012.3</v>
      </c>
      <c r="O56" s="211">
        <v>34325.969315267976</v>
      </c>
      <c r="P56" s="210" t="s">
        <v>199</v>
      </c>
      <c r="Q56" s="204"/>
      <c r="R56" s="232">
        <f t="shared" si="5"/>
        <v>-2337.372695558588</v>
      </c>
    </row>
    <row r="57" spans="1:18" s="284" customFormat="1" hidden="1">
      <c r="A57" s="212" t="s">
        <v>209</v>
      </c>
      <c r="B57" s="213">
        <v>261166.29</v>
      </c>
      <c r="C57" s="214">
        <v>260465.8</v>
      </c>
      <c r="D57" s="211">
        <v>301803.96993257146</v>
      </c>
      <c r="E57" s="215"/>
      <c r="F57" s="215"/>
      <c r="G57" s="215"/>
      <c r="H57" s="215"/>
      <c r="I57" s="213">
        <v>24661.200000000001</v>
      </c>
      <c r="J57" s="215"/>
      <c r="K57" s="215"/>
      <c r="L57" s="215"/>
      <c r="M57" s="213">
        <v>236768.5</v>
      </c>
      <c r="N57" s="214">
        <v>290467.08</v>
      </c>
      <c r="O57" s="211">
        <v>327943.49584095733</v>
      </c>
      <c r="P57" s="215"/>
      <c r="Q57" s="211">
        <f>O57-D57</f>
        <v>26139.525908385869</v>
      </c>
      <c r="R57" s="233">
        <f t="shared" si="5"/>
        <v>26139.525908385869</v>
      </c>
    </row>
    <row r="58" spans="1:18" hidden="1">
      <c r="A58" s="216" t="s">
        <v>203</v>
      </c>
      <c r="B58" s="207"/>
      <c r="C58" s="208"/>
      <c r="D58" s="209"/>
      <c r="E58" s="210"/>
      <c r="F58" s="210"/>
      <c r="G58" s="210"/>
      <c r="H58" s="210"/>
      <c r="I58" s="208">
        <v>3903.4474025768463</v>
      </c>
      <c r="J58" s="208">
        <v>3903.4474025768463</v>
      </c>
      <c r="K58" s="210"/>
      <c r="L58" s="210"/>
      <c r="M58" s="207"/>
      <c r="N58" s="208"/>
      <c r="O58" s="211"/>
      <c r="P58" s="210"/>
      <c r="Q58" s="204"/>
    </row>
    <row r="59" spans="1:18" hidden="1">
      <c r="A59" s="216">
        <v>6.3178000000000001</v>
      </c>
      <c r="B59" s="203"/>
      <c r="C59" s="203"/>
      <c r="D59" s="204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12"/>
      <c r="P59" s="203"/>
      <c r="Q59" s="204"/>
    </row>
    <row r="60" spans="1:18" hidden="1">
      <c r="A60" s="203"/>
      <c r="B60" s="203"/>
      <c r="C60" s="203"/>
      <c r="D60" s="204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12"/>
      <c r="P60" s="203"/>
      <c r="Q60" s="204"/>
    </row>
    <row r="61" spans="1:18" s="282" customFormat="1" hidden="1">
      <c r="A61" s="200">
        <v>41091</v>
      </c>
      <c r="B61" s="561" t="s">
        <v>204</v>
      </c>
      <c r="C61" s="561"/>
      <c r="D61" s="561"/>
      <c r="E61" s="562" t="s">
        <v>190</v>
      </c>
      <c r="F61" s="562"/>
      <c r="G61" s="562" t="s">
        <v>191</v>
      </c>
      <c r="H61" s="562"/>
      <c r="I61" s="562" t="s">
        <v>192</v>
      </c>
      <c r="J61" s="562"/>
      <c r="K61" s="562" t="s">
        <v>193</v>
      </c>
      <c r="L61" s="562"/>
      <c r="M61" s="563" t="s">
        <v>205</v>
      </c>
      <c r="N61" s="563"/>
      <c r="O61" s="563"/>
      <c r="P61" s="252" t="s">
        <v>194</v>
      </c>
      <c r="Q61" s="217"/>
      <c r="R61" s="234" t="s">
        <v>996</v>
      </c>
    </row>
    <row r="62" spans="1:18" hidden="1">
      <c r="A62" s="202" t="s">
        <v>195</v>
      </c>
      <c r="B62" s="202" t="s">
        <v>596</v>
      </c>
      <c r="C62" s="202" t="s">
        <v>597</v>
      </c>
      <c r="D62" s="202" t="s">
        <v>207</v>
      </c>
      <c r="E62" s="202" t="s">
        <v>596</v>
      </c>
      <c r="F62" s="202" t="s">
        <v>597</v>
      </c>
      <c r="G62" s="202" t="s">
        <v>596</v>
      </c>
      <c r="H62" s="202" t="s">
        <v>597</v>
      </c>
      <c r="I62" s="202" t="s">
        <v>596</v>
      </c>
      <c r="J62" s="202" t="s">
        <v>597</v>
      </c>
      <c r="K62" s="202" t="s">
        <v>596</v>
      </c>
      <c r="L62" s="202" t="s">
        <v>597</v>
      </c>
      <c r="M62" s="202" t="s">
        <v>596</v>
      </c>
      <c r="N62" s="202" t="s">
        <v>597</v>
      </c>
      <c r="O62" s="202" t="s">
        <v>207</v>
      </c>
      <c r="P62" s="203"/>
      <c r="Q62" s="204"/>
    </row>
    <row r="63" spans="1:18" hidden="1">
      <c r="A63" s="206" t="s">
        <v>196</v>
      </c>
      <c r="B63" s="207">
        <v>0</v>
      </c>
      <c r="C63" s="208">
        <v>285454.78000000003</v>
      </c>
      <c r="D63" s="209">
        <v>285454.78000000003</v>
      </c>
      <c r="E63" s="210"/>
      <c r="F63" s="208"/>
      <c r="G63" s="207"/>
      <c r="H63" s="208"/>
      <c r="I63" s="210"/>
      <c r="J63" s="210"/>
      <c r="K63" s="210"/>
      <c r="L63" s="210"/>
      <c r="M63" s="207">
        <v>0</v>
      </c>
      <c r="N63" s="208">
        <v>285454.78000000003</v>
      </c>
      <c r="O63" s="211">
        <v>285454.78000000003</v>
      </c>
      <c r="P63" s="210" t="s">
        <v>197</v>
      </c>
      <c r="Q63" s="204"/>
      <c r="R63" s="232">
        <f>O63-D63</f>
        <v>0</v>
      </c>
    </row>
    <row r="64" spans="1:18" hidden="1">
      <c r="A64" s="206" t="s">
        <v>198</v>
      </c>
      <c r="B64" s="207">
        <v>498.15000000000242</v>
      </c>
      <c r="C64" s="208">
        <v>0</v>
      </c>
      <c r="D64" s="209">
        <v>78.777575709654826</v>
      </c>
      <c r="E64" s="207"/>
      <c r="F64" s="210"/>
      <c r="G64" s="207">
        <v>35000</v>
      </c>
      <c r="H64" s="210"/>
      <c r="I64" s="207">
        <v>1575.61</v>
      </c>
      <c r="J64" s="210"/>
      <c r="K64" s="207"/>
      <c r="L64" s="210"/>
      <c r="M64" s="207">
        <v>33922.54</v>
      </c>
      <c r="N64" s="208">
        <v>0</v>
      </c>
      <c r="O64" s="211">
        <v>5364.5196489286</v>
      </c>
      <c r="P64" s="210" t="s">
        <v>199</v>
      </c>
      <c r="Q64" s="204"/>
      <c r="R64" s="232">
        <f t="shared" ref="R64:R67" si="6">O64-D64</f>
        <v>5285.7420732189448</v>
      </c>
    </row>
    <row r="65" spans="1:18" hidden="1">
      <c r="A65" s="206" t="s">
        <v>200</v>
      </c>
      <c r="B65" s="207">
        <v>51072.44999999999</v>
      </c>
      <c r="C65" s="208">
        <v>0</v>
      </c>
      <c r="D65" s="209">
        <v>8076.6110540049003</v>
      </c>
      <c r="E65" s="207"/>
      <c r="F65" s="210"/>
      <c r="G65" s="207"/>
      <c r="H65" s="210"/>
      <c r="I65" s="207">
        <v>7505.5</v>
      </c>
      <c r="J65" s="210"/>
      <c r="K65" s="207">
        <v>10000</v>
      </c>
      <c r="L65" s="208"/>
      <c r="M65" s="207">
        <v>33566.94999999999</v>
      </c>
      <c r="N65" s="208">
        <v>0</v>
      </c>
      <c r="O65" s="211">
        <v>5308.2865501699989</v>
      </c>
      <c r="P65" s="210" t="s">
        <v>201</v>
      </c>
      <c r="Q65" s="204"/>
      <c r="R65" s="232">
        <f t="shared" si="6"/>
        <v>-2768.3245038349014</v>
      </c>
    </row>
    <row r="66" spans="1:18" hidden="1">
      <c r="A66" s="206" t="s">
        <v>202</v>
      </c>
      <c r="B66" s="207">
        <v>185197.9</v>
      </c>
      <c r="C66" s="208">
        <v>5012.3</v>
      </c>
      <c r="D66" s="209">
        <v>34299.545987190635</v>
      </c>
      <c r="E66" s="207"/>
      <c r="F66" s="208"/>
      <c r="G66" s="207"/>
      <c r="H66" s="210"/>
      <c r="I66" s="207">
        <v>16052.86</v>
      </c>
      <c r="J66" s="210"/>
      <c r="K66" s="207">
        <v>50000</v>
      </c>
      <c r="L66" s="210"/>
      <c r="M66" s="207">
        <v>119145.04</v>
      </c>
      <c r="N66" s="208">
        <v>5012.3</v>
      </c>
      <c r="O66" s="211">
        <v>23853.928844785321</v>
      </c>
      <c r="P66" s="210" t="s">
        <v>199</v>
      </c>
      <c r="Q66" s="204"/>
      <c r="R66" s="232">
        <f t="shared" si="6"/>
        <v>-10445.617142405314</v>
      </c>
    </row>
    <row r="67" spans="1:18" s="284" customFormat="1" hidden="1">
      <c r="A67" s="212" t="s">
        <v>209</v>
      </c>
      <c r="B67" s="213">
        <v>236768.5</v>
      </c>
      <c r="C67" s="214">
        <v>290467.08</v>
      </c>
      <c r="D67" s="211">
        <v>327909.7146169052</v>
      </c>
      <c r="E67" s="215"/>
      <c r="F67" s="215"/>
      <c r="G67" s="213"/>
      <c r="H67" s="215"/>
      <c r="I67" s="213">
        <v>50133.97</v>
      </c>
      <c r="J67" s="215"/>
      <c r="K67" s="215"/>
      <c r="L67" s="215"/>
      <c r="M67" s="213">
        <v>186634.53</v>
      </c>
      <c r="N67" s="214">
        <v>290467.08</v>
      </c>
      <c r="O67" s="211">
        <v>319981.51504388393</v>
      </c>
      <c r="P67" s="215"/>
      <c r="Q67" s="211">
        <f>O67-D67</f>
        <v>-7928.1995730212657</v>
      </c>
      <c r="R67" s="233">
        <f t="shared" si="6"/>
        <v>-7928.1995730212657</v>
      </c>
    </row>
    <row r="68" spans="1:18" hidden="1">
      <c r="A68" s="216" t="s">
        <v>203</v>
      </c>
      <c r="B68" s="207"/>
      <c r="C68" s="208"/>
      <c r="D68" s="209"/>
      <c r="E68" s="210"/>
      <c r="F68" s="210"/>
      <c r="G68" s="207"/>
      <c r="H68" s="210"/>
      <c r="I68" s="208">
        <v>7928.1995730212702</v>
      </c>
      <c r="J68" s="208">
        <v>7928.1995730212702</v>
      </c>
      <c r="K68" s="210"/>
      <c r="L68" s="210"/>
      <c r="M68" s="207"/>
      <c r="N68" s="208"/>
      <c r="O68" s="211"/>
      <c r="P68" s="210"/>
      <c r="Q68" s="204"/>
    </row>
    <row r="69" spans="1:18" hidden="1">
      <c r="A69" s="216">
        <v>6.3235000000000001</v>
      </c>
      <c r="B69" s="203"/>
      <c r="C69" s="203"/>
      <c r="D69" s="204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12"/>
      <c r="P69" s="203"/>
      <c r="Q69" s="204"/>
    </row>
    <row r="70" spans="1:18" hidden="1">
      <c r="A70" s="203"/>
      <c r="B70" s="203"/>
      <c r="C70" s="203"/>
      <c r="D70" s="204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12"/>
      <c r="P70" s="203"/>
      <c r="Q70" s="204"/>
    </row>
    <row r="71" spans="1:18" s="282" customFormat="1" hidden="1">
      <c r="A71" s="200">
        <v>41122</v>
      </c>
      <c r="B71" s="561" t="s">
        <v>245</v>
      </c>
      <c r="C71" s="561"/>
      <c r="D71" s="561"/>
      <c r="E71" s="562" t="s">
        <v>190</v>
      </c>
      <c r="F71" s="562"/>
      <c r="G71" s="562" t="s">
        <v>191</v>
      </c>
      <c r="H71" s="562"/>
      <c r="I71" s="562" t="s">
        <v>192</v>
      </c>
      <c r="J71" s="562"/>
      <c r="K71" s="562" t="s">
        <v>193</v>
      </c>
      <c r="L71" s="562"/>
      <c r="M71" s="563" t="s">
        <v>246</v>
      </c>
      <c r="N71" s="563"/>
      <c r="O71" s="563"/>
      <c r="P71" s="252" t="s">
        <v>194</v>
      </c>
      <c r="Q71" s="217"/>
      <c r="R71" s="234" t="s">
        <v>996</v>
      </c>
    </row>
    <row r="72" spans="1:18" hidden="1">
      <c r="A72" s="202" t="s">
        <v>195</v>
      </c>
      <c r="B72" s="202" t="s">
        <v>596</v>
      </c>
      <c r="C72" s="202" t="s">
        <v>597</v>
      </c>
      <c r="D72" s="202" t="s">
        <v>247</v>
      </c>
      <c r="E72" s="202" t="s">
        <v>596</v>
      </c>
      <c r="F72" s="202" t="s">
        <v>597</v>
      </c>
      <c r="G72" s="202" t="s">
        <v>596</v>
      </c>
      <c r="H72" s="202" t="s">
        <v>597</v>
      </c>
      <c r="I72" s="202" t="s">
        <v>596</v>
      </c>
      <c r="J72" s="202" t="s">
        <v>597</v>
      </c>
      <c r="K72" s="202" t="s">
        <v>596</v>
      </c>
      <c r="L72" s="202" t="s">
        <v>597</v>
      </c>
      <c r="M72" s="202" t="s">
        <v>596</v>
      </c>
      <c r="N72" s="202" t="s">
        <v>597</v>
      </c>
      <c r="O72" s="202" t="s">
        <v>247</v>
      </c>
      <c r="P72" s="203"/>
      <c r="Q72" s="204"/>
    </row>
    <row r="73" spans="1:18" hidden="1">
      <c r="A73" s="206" t="s">
        <v>196</v>
      </c>
      <c r="B73" s="207">
        <v>0</v>
      </c>
      <c r="C73" s="208">
        <v>285454.78000000003</v>
      </c>
      <c r="D73" s="209">
        <v>285454.78000000003</v>
      </c>
      <c r="E73" s="210"/>
      <c r="F73" s="208"/>
      <c r="G73" s="207"/>
      <c r="H73" s="208"/>
      <c r="I73" s="210"/>
      <c r="J73" s="208">
        <v>85</v>
      </c>
      <c r="K73" s="210"/>
      <c r="L73" s="210"/>
      <c r="M73" s="207">
        <v>0</v>
      </c>
      <c r="N73" s="208">
        <v>285369.78000000003</v>
      </c>
      <c r="O73" s="211">
        <v>285369.78000000003</v>
      </c>
      <c r="P73" s="210" t="s">
        <v>197</v>
      </c>
      <c r="Q73" s="204"/>
      <c r="R73" s="232">
        <f>O73-D73</f>
        <v>-85</v>
      </c>
    </row>
    <row r="74" spans="1:18" hidden="1">
      <c r="A74" s="206" t="s">
        <v>198</v>
      </c>
      <c r="B74" s="207">
        <v>33922.54</v>
      </c>
      <c r="C74" s="208">
        <v>0</v>
      </c>
      <c r="D74" s="209">
        <v>5350.2208062582804</v>
      </c>
      <c r="E74" s="207"/>
      <c r="F74" s="210"/>
      <c r="G74" s="207"/>
      <c r="H74" s="210"/>
      <c r="I74" s="207">
        <v>17449.32</v>
      </c>
      <c r="J74" s="210"/>
      <c r="K74" s="207"/>
      <c r="L74" s="210"/>
      <c r="M74" s="207">
        <v>16473.22</v>
      </c>
      <c r="N74" s="208">
        <v>0</v>
      </c>
      <c r="O74" s="211">
        <v>2598.135764305091</v>
      </c>
      <c r="P74" s="210" t="s">
        <v>199</v>
      </c>
      <c r="Q74" s="204"/>
      <c r="R74" s="232">
        <f t="shared" ref="R74:R77" si="7">O74-D74</f>
        <v>-2752.0850419531894</v>
      </c>
    </row>
    <row r="75" spans="1:18" hidden="1">
      <c r="A75" s="206" t="s">
        <v>200</v>
      </c>
      <c r="B75" s="207">
        <v>33566.94999999999</v>
      </c>
      <c r="C75" s="208">
        <v>0</v>
      </c>
      <c r="D75" s="209">
        <v>5294.1375938426572</v>
      </c>
      <c r="E75" s="207"/>
      <c r="F75" s="210"/>
      <c r="G75" s="207">
        <v>20000</v>
      </c>
      <c r="H75" s="210"/>
      <c r="I75" s="207">
        <v>39930</v>
      </c>
      <c r="J75" s="210"/>
      <c r="K75" s="207"/>
      <c r="L75" s="208"/>
      <c r="M75" s="207">
        <v>13636.949999999988</v>
      </c>
      <c r="N75" s="208">
        <v>0</v>
      </c>
      <c r="O75" s="211">
        <v>2150.8027884676026</v>
      </c>
      <c r="P75" s="210" t="s">
        <v>201</v>
      </c>
      <c r="Q75" s="204"/>
      <c r="R75" s="232">
        <f t="shared" si="7"/>
        <v>-3143.3348053750547</v>
      </c>
    </row>
    <row r="76" spans="1:18" hidden="1">
      <c r="A76" s="206" t="s">
        <v>202</v>
      </c>
      <c r="B76" s="207">
        <v>119145.04</v>
      </c>
      <c r="C76" s="208">
        <v>5012.3</v>
      </c>
      <c r="D76" s="209">
        <v>23803.707482177782</v>
      </c>
      <c r="E76" s="207"/>
      <c r="F76" s="208"/>
      <c r="G76" s="207"/>
      <c r="H76" s="210"/>
      <c r="I76" s="207"/>
      <c r="J76" s="210"/>
      <c r="K76" s="207">
        <v>40000</v>
      </c>
      <c r="L76" s="210"/>
      <c r="M76" s="207">
        <v>79145.039999999994</v>
      </c>
      <c r="N76" s="208">
        <v>5012.3</v>
      </c>
      <c r="O76" s="211">
        <v>17494.957245599653</v>
      </c>
      <c r="P76" s="210" t="s">
        <v>199</v>
      </c>
      <c r="Q76" s="204"/>
      <c r="R76" s="232">
        <f t="shared" si="7"/>
        <v>-6308.7502365781293</v>
      </c>
    </row>
    <row r="77" spans="1:18" s="284" customFormat="1" hidden="1">
      <c r="A77" s="212" t="s">
        <v>248</v>
      </c>
      <c r="B77" s="213">
        <v>186634.53</v>
      </c>
      <c r="C77" s="214">
        <v>290467.08</v>
      </c>
      <c r="D77" s="211">
        <v>319902.84588227881</v>
      </c>
      <c r="E77" s="215"/>
      <c r="F77" s="215"/>
      <c r="G77" s="213"/>
      <c r="H77" s="215"/>
      <c r="I77" s="213">
        <v>77379.320000000007</v>
      </c>
      <c r="J77" s="214">
        <v>85</v>
      </c>
      <c r="K77" s="215"/>
      <c r="L77" s="215"/>
      <c r="M77" s="213">
        <v>109255.21</v>
      </c>
      <c r="N77" s="214">
        <v>290382.08000000002</v>
      </c>
      <c r="O77" s="211">
        <v>307613.67579837237</v>
      </c>
      <c r="P77" s="215"/>
      <c r="Q77" s="211">
        <f>O77-D77</f>
        <v>-12289.170083906443</v>
      </c>
      <c r="R77" s="233">
        <f t="shared" si="7"/>
        <v>-12289.170083906443</v>
      </c>
    </row>
    <row r="78" spans="1:18" hidden="1">
      <c r="A78" s="216" t="s">
        <v>203</v>
      </c>
      <c r="B78" s="207"/>
      <c r="C78" s="208"/>
      <c r="D78" s="209"/>
      <c r="E78" s="210"/>
      <c r="F78" s="210"/>
      <c r="G78" s="207"/>
      <c r="H78" s="210"/>
      <c r="I78" s="208">
        <v>12204.17008390638</v>
      </c>
      <c r="J78" s="208">
        <v>12289.17008390638</v>
      </c>
      <c r="K78" s="210"/>
      <c r="L78" s="210"/>
      <c r="M78" s="207"/>
      <c r="N78" s="208"/>
      <c r="O78" s="211"/>
      <c r="P78" s="210"/>
      <c r="Q78" s="204"/>
    </row>
    <row r="79" spans="1:18" hidden="1">
      <c r="A79" s="216">
        <v>6.3403999999999998</v>
      </c>
      <c r="B79" s="203"/>
      <c r="C79" s="203"/>
      <c r="D79" s="204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12"/>
      <c r="P79" s="203"/>
      <c r="Q79" s="204"/>
    </row>
    <row r="80" spans="1:18" hidden="1">
      <c r="A80" s="203"/>
      <c r="B80" s="203"/>
      <c r="C80" s="203"/>
      <c r="D80" s="204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12"/>
      <c r="P80" s="203"/>
      <c r="Q80" s="204"/>
    </row>
    <row r="81" spans="1:18" s="282" customFormat="1" hidden="1">
      <c r="A81" s="200">
        <v>41153</v>
      </c>
      <c r="B81" s="561" t="s">
        <v>249</v>
      </c>
      <c r="C81" s="561"/>
      <c r="D81" s="561"/>
      <c r="E81" s="562" t="s">
        <v>190</v>
      </c>
      <c r="F81" s="562"/>
      <c r="G81" s="562" t="s">
        <v>191</v>
      </c>
      <c r="H81" s="562"/>
      <c r="I81" s="562" t="s">
        <v>192</v>
      </c>
      <c r="J81" s="562"/>
      <c r="K81" s="562" t="s">
        <v>193</v>
      </c>
      <c r="L81" s="562"/>
      <c r="M81" s="563" t="s">
        <v>250</v>
      </c>
      <c r="N81" s="563"/>
      <c r="O81" s="563"/>
      <c r="P81" s="252" t="s">
        <v>194</v>
      </c>
      <c r="Q81" s="217"/>
      <c r="R81" s="234" t="s">
        <v>996</v>
      </c>
    </row>
    <row r="82" spans="1:18" hidden="1">
      <c r="A82" s="202" t="s">
        <v>195</v>
      </c>
      <c r="B82" s="202" t="s">
        <v>596</v>
      </c>
      <c r="C82" s="202" t="s">
        <v>597</v>
      </c>
      <c r="D82" s="202" t="s">
        <v>251</v>
      </c>
      <c r="E82" s="202" t="s">
        <v>596</v>
      </c>
      <c r="F82" s="202" t="s">
        <v>597</v>
      </c>
      <c r="G82" s="202" t="s">
        <v>596</v>
      </c>
      <c r="H82" s="202" t="s">
        <v>597</v>
      </c>
      <c r="I82" s="202" t="s">
        <v>596</v>
      </c>
      <c r="J82" s="202" t="s">
        <v>597</v>
      </c>
      <c r="K82" s="202" t="s">
        <v>596</v>
      </c>
      <c r="L82" s="202" t="s">
        <v>597</v>
      </c>
      <c r="M82" s="202" t="s">
        <v>596</v>
      </c>
      <c r="N82" s="202" t="s">
        <v>597</v>
      </c>
      <c r="O82" s="202" t="s">
        <v>251</v>
      </c>
      <c r="P82" s="203"/>
      <c r="Q82" s="204"/>
    </row>
    <row r="83" spans="1:18" hidden="1">
      <c r="A83" s="206" t="s">
        <v>196</v>
      </c>
      <c r="B83" s="207">
        <v>0</v>
      </c>
      <c r="C83" s="208">
        <v>285369.78000000003</v>
      </c>
      <c r="D83" s="209">
        <v>285369.78000000003</v>
      </c>
      <c r="E83" s="210"/>
      <c r="F83" s="208"/>
      <c r="G83" s="207"/>
      <c r="H83" s="208"/>
      <c r="I83" s="210"/>
      <c r="J83" s="208">
        <v>1250</v>
      </c>
      <c r="K83" s="210"/>
      <c r="L83" s="210"/>
      <c r="M83" s="207">
        <v>0</v>
      </c>
      <c r="N83" s="208">
        <v>284119.78000000003</v>
      </c>
      <c r="O83" s="211">
        <v>284119.78000000003</v>
      </c>
      <c r="P83" s="210" t="s">
        <v>197</v>
      </c>
      <c r="Q83" s="204"/>
      <c r="R83" s="232">
        <f>O83-D83</f>
        <v>-1250</v>
      </c>
    </row>
    <row r="84" spans="1:18" hidden="1">
      <c r="A84" s="206" t="s">
        <v>198</v>
      </c>
      <c r="B84" s="207">
        <v>16473.22</v>
      </c>
      <c r="C84" s="208">
        <v>0</v>
      </c>
      <c r="D84" s="209">
        <v>2598.5046139285432</v>
      </c>
      <c r="E84" s="207">
        <v>12.09</v>
      </c>
      <c r="F84" s="210"/>
      <c r="G84" s="207"/>
      <c r="H84" s="210"/>
      <c r="I84" s="207">
        <v>7587.64</v>
      </c>
      <c r="J84" s="210"/>
      <c r="K84" s="207"/>
      <c r="L84" s="210"/>
      <c r="M84" s="207">
        <v>8897.6700000000019</v>
      </c>
      <c r="N84" s="208">
        <v>0</v>
      </c>
      <c r="O84" s="211">
        <v>1403.5286694534273</v>
      </c>
      <c r="P84" s="210" t="s">
        <v>199</v>
      </c>
      <c r="Q84" s="204"/>
      <c r="R84" s="232">
        <f t="shared" ref="R84:R87" si="8">O84-D84</f>
        <v>-1194.975944475116</v>
      </c>
    </row>
    <row r="85" spans="1:18" hidden="1">
      <c r="A85" s="206" t="s">
        <v>200</v>
      </c>
      <c r="B85" s="207">
        <v>13636.949999999988</v>
      </c>
      <c r="C85" s="208">
        <v>0</v>
      </c>
      <c r="D85" s="209">
        <v>2151.108131556115</v>
      </c>
      <c r="E85" s="207">
        <v>29.3</v>
      </c>
      <c r="F85" s="208"/>
      <c r="G85" s="207"/>
      <c r="H85" s="210"/>
      <c r="I85" s="207">
        <v>10</v>
      </c>
      <c r="J85" s="210"/>
      <c r="K85" s="207"/>
      <c r="L85" s="208"/>
      <c r="M85" s="207">
        <v>13656.249999999989</v>
      </c>
      <c r="N85" s="208">
        <v>0</v>
      </c>
      <c r="O85" s="211">
        <v>2154.1525356889333</v>
      </c>
      <c r="P85" s="210" t="s">
        <v>201</v>
      </c>
      <c r="Q85" s="204"/>
      <c r="R85" s="232">
        <f t="shared" si="8"/>
        <v>3.044404132818272</v>
      </c>
    </row>
    <row r="86" spans="1:18" hidden="1">
      <c r="A86" s="206" t="s">
        <v>202</v>
      </c>
      <c r="B86" s="207">
        <v>79145.039999999994</v>
      </c>
      <c r="C86" s="208">
        <v>5012.3</v>
      </c>
      <c r="D86" s="209">
        <v>17496.729371401525</v>
      </c>
      <c r="E86" s="207">
        <v>106.93</v>
      </c>
      <c r="F86" s="208">
        <v>0.64</v>
      </c>
      <c r="G86" s="207">
        <v>49900</v>
      </c>
      <c r="H86" s="210"/>
      <c r="I86" s="207">
        <v>63550</v>
      </c>
      <c r="J86" s="210"/>
      <c r="K86" s="207">
        <v>15000</v>
      </c>
      <c r="L86" s="210"/>
      <c r="M86" s="207">
        <v>50601.969999999987</v>
      </c>
      <c r="N86" s="208">
        <v>5012.9400000000005</v>
      </c>
      <c r="O86" s="211">
        <v>12994.952777032891</v>
      </c>
      <c r="P86" s="210" t="s">
        <v>199</v>
      </c>
      <c r="Q86" s="204"/>
      <c r="R86" s="232">
        <f t="shared" si="8"/>
        <v>-4501.7765943686336</v>
      </c>
    </row>
    <row r="87" spans="1:18" s="284" customFormat="1" hidden="1">
      <c r="A87" s="212" t="s">
        <v>252</v>
      </c>
      <c r="B87" s="213">
        <v>109255.21</v>
      </c>
      <c r="C87" s="214">
        <v>290382.08000000002</v>
      </c>
      <c r="D87" s="211">
        <v>307616.12211688614</v>
      </c>
      <c r="E87" s="215"/>
      <c r="F87" s="215"/>
      <c r="G87" s="213"/>
      <c r="H87" s="215"/>
      <c r="I87" s="213">
        <v>71147.64</v>
      </c>
      <c r="J87" s="214">
        <v>1250</v>
      </c>
      <c r="K87" s="215"/>
      <c r="L87" s="215"/>
      <c r="M87" s="213">
        <v>73155.889999999985</v>
      </c>
      <c r="N87" s="214">
        <v>289132.71999999997</v>
      </c>
      <c r="O87" s="211">
        <v>300672.41398217529</v>
      </c>
      <c r="P87" s="215"/>
      <c r="Q87" s="211">
        <f>O87-D87</f>
        <v>-6943.7081347108469</v>
      </c>
      <c r="R87" s="233">
        <f t="shared" si="8"/>
        <v>-6943.7081347108469</v>
      </c>
    </row>
    <row r="88" spans="1:18" hidden="1">
      <c r="A88" s="216" t="s">
        <v>203</v>
      </c>
      <c r="B88" s="207"/>
      <c r="C88" s="208"/>
      <c r="D88" s="209"/>
      <c r="E88" s="210"/>
      <c r="F88" s="210"/>
      <c r="G88" s="207"/>
      <c r="H88" s="210"/>
      <c r="I88" s="208">
        <v>11222.91032415806</v>
      </c>
      <c r="J88" s="208">
        <v>12472.91032415806</v>
      </c>
      <c r="K88" s="210"/>
      <c r="L88" s="210"/>
      <c r="M88" s="207"/>
      <c r="N88" s="208"/>
      <c r="O88" s="211"/>
      <c r="P88" s="210"/>
      <c r="Q88" s="204"/>
    </row>
    <row r="89" spans="1:18" hidden="1">
      <c r="A89" s="216">
        <v>6.3395000000000001</v>
      </c>
      <c r="B89" s="203"/>
      <c r="C89" s="203"/>
      <c r="D89" s="204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12"/>
      <c r="P89" s="203"/>
      <c r="Q89" s="204"/>
    </row>
    <row r="90" spans="1:18" hidden="1">
      <c r="A90" s="203"/>
      <c r="B90" s="203"/>
      <c r="C90" s="203"/>
      <c r="D90" s="204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12"/>
      <c r="P90" s="203"/>
      <c r="Q90" s="204"/>
    </row>
    <row r="91" spans="1:18" s="282" customFormat="1" hidden="1">
      <c r="A91" s="200">
        <v>41183</v>
      </c>
      <c r="B91" s="561" t="s">
        <v>204</v>
      </c>
      <c r="C91" s="561"/>
      <c r="D91" s="561"/>
      <c r="E91" s="562" t="s">
        <v>190</v>
      </c>
      <c r="F91" s="562"/>
      <c r="G91" s="562" t="s">
        <v>191</v>
      </c>
      <c r="H91" s="562"/>
      <c r="I91" s="562" t="s">
        <v>192</v>
      </c>
      <c r="J91" s="562"/>
      <c r="K91" s="562" t="s">
        <v>193</v>
      </c>
      <c r="L91" s="562"/>
      <c r="M91" s="563" t="s">
        <v>205</v>
      </c>
      <c r="N91" s="563"/>
      <c r="O91" s="563"/>
      <c r="P91" s="252" t="s">
        <v>194</v>
      </c>
      <c r="Q91" s="217"/>
      <c r="R91" s="234" t="s">
        <v>996</v>
      </c>
    </row>
    <row r="92" spans="1:18" hidden="1">
      <c r="A92" s="202" t="s">
        <v>195</v>
      </c>
      <c r="B92" s="202" t="s">
        <v>596</v>
      </c>
      <c r="C92" s="202" t="s">
        <v>597</v>
      </c>
      <c r="D92" s="202" t="s">
        <v>207</v>
      </c>
      <c r="E92" s="202" t="s">
        <v>596</v>
      </c>
      <c r="F92" s="202" t="s">
        <v>597</v>
      </c>
      <c r="G92" s="202" t="s">
        <v>596</v>
      </c>
      <c r="H92" s="202" t="s">
        <v>597</v>
      </c>
      <c r="I92" s="202" t="s">
        <v>596</v>
      </c>
      <c r="J92" s="202" t="s">
        <v>597</v>
      </c>
      <c r="K92" s="202" t="s">
        <v>596</v>
      </c>
      <c r="L92" s="202" t="s">
        <v>597</v>
      </c>
      <c r="M92" s="202" t="s">
        <v>596</v>
      </c>
      <c r="N92" s="202" t="s">
        <v>597</v>
      </c>
      <c r="O92" s="202" t="s">
        <v>207</v>
      </c>
      <c r="P92" s="203"/>
      <c r="Q92" s="204"/>
    </row>
    <row r="93" spans="1:18" hidden="1">
      <c r="A93" s="206" t="s">
        <v>196</v>
      </c>
      <c r="B93" s="207">
        <v>0</v>
      </c>
      <c r="C93" s="208">
        <v>284119.78000000003</v>
      </c>
      <c r="D93" s="209">
        <v>284119.78000000003</v>
      </c>
      <c r="E93" s="210"/>
      <c r="F93" s="208">
        <v>84500</v>
      </c>
      <c r="G93" s="207"/>
      <c r="H93" s="208"/>
      <c r="I93" s="210"/>
      <c r="J93" s="208">
        <v>12</v>
      </c>
      <c r="K93" s="210"/>
      <c r="L93" s="210"/>
      <c r="M93" s="207">
        <v>0</v>
      </c>
      <c r="N93" s="208">
        <v>368607.78</v>
      </c>
      <c r="O93" s="211">
        <v>368607.78</v>
      </c>
      <c r="P93" s="210" t="s">
        <v>197</v>
      </c>
      <c r="Q93" s="204"/>
      <c r="R93" s="232">
        <f>O93-D93</f>
        <v>84488</v>
      </c>
    </row>
    <row r="94" spans="1:18" hidden="1">
      <c r="A94" s="206" t="s">
        <v>198</v>
      </c>
      <c r="B94" s="207">
        <v>8897.6700000000019</v>
      </c>
      <c r="C94" s="208">
        <v>0</v>
      </c>
      <c r="D94" s="209">
        <v>1409.1077537058161</v>
      </c>
      <c r="E94" s="207"/>
      <c r="F94" s="210"/>
      <c r="G94" s="207"/>
      <c r="H94" s="210"/>
      <c r="I94" s="207">
        <v>3618</v>
      </c>
      <c r="J94" s="210"/>
      <c r="K94" s="207"/>
      <c r="L94" s="210"/>
      <c r="M94" s="207">
        <v>5279.6700000000019</v>
      </c>
      <c r="N94" s="208">
        <v>0</v>
      </c>
      <c r="O94" s="211">
        <v>836.13169897377441</v>
      </c>
      <c r="P94" s="210" t="s">
        <v>199</v>
      </c>
      <c r="Q94" s="204"/>
      <c r="R94" s="232">
        <f t="shared" ref="R94:R97" si="9">O94-D94</f>
        <v>-572.97605473204169</v>
      </c>
    </row>
    <row r="95" spans="1:18" hidden="1">
      <c r="A95" s="206" t="s">
        <v>200</v>
      </c>
      <c r="B95" s="207">
        <v>13656.249999999989</v>
      </c>
      <c r="C95" s="208">
        <v>0</v>
      </c>
      <c r="D95" s="209">
        <v>2162.7153807170889</v>
      </c>
      <c r="E95" s="207"/>
      <c r="F95" s="208"/>
      <c r="G95" s="207"/>
      <c r="H95" s="210"/>
      <c r="I95" s="207">
        <v>12738.6</v>
      </c>
      <c r="J95" s="210"/>
      <c r="K95" s="207"/>
      <c r="L95" s="208"/>
      <c r="M95" s="207">
        <v>917.64999999998861</v>
      </c>
      <c r="N95" s="208">
        <v>0</v>
      </c>
      <c r="O95" s="211">
        <v>145.32655517547019</v>
      </c>
      <c r="P95" s="210" t="s">
        <v>201</v>
      </c>
      <c r="Q95" s="204"/>
      <c r="R95" s="232">
        <f t="shared" si="9"/>
        <v>-2017.3888255416186</v>
      </c>
    </row>
    <row r="96" spans="1:18" hidden="1">
      <c r="A96" s="206" t="s">
        <v>202</v>
      </c>
      <c r="B96" s="207">
        <v>50601.969999999987</v>
      </c>
      <c r="C96" s="208">
        <v>5012.9400000000005</v>
      </c>
      <c r="D96" s="209">
        <v>13026.68160648676</v>
      </c>
      <c r="E96" s="207"/>
      <c r="F96" s="208"/>
      <c r="G96" s="207"/>
      <c r="H96" s="210"/>
      <c r="I96" s="207"/>
      <c r="J96" s="210"/>
      <c r="K96" s="207">
        <v>19000</v>
      </c>
      <c r="L96" s="210"/>
      <c r="M96" s="207">
        <v>31601.96999999999</v>
      </c>
      <c r="N96" s="208">
        <v>5012.9400000000005</v>
      </c>
      <c r="O96" s="211">
        <v>10017.686294184719</v>
      </c>
      <c r="P96" s="210" t="s">
        <v>199</v>
      </c>
      <c r="Q96" s="204"/>
      <c r="R96" s="232">
        <f t="shared" si="9"/>
        <v>-3008.9953123020405</v>
      </c>
    </row>
    <row r="97" spans="1:18" s="284" customFormat="1" hidden="1">
      <c r="A97" s="212" t="s">
        <v>253</v>
      </c>
      <c r="B97" s="213">
        <v>73155.889999999985</v>
      </c>
      <c r="C97" s="214">
        <v>289132.71999999997</v>
      </c>
      <c r="D97" s="211">
        <v>300718.28474090976</v>
      </c>
      <c r="E97" s="215"/>
      <c r="F97" s="215"/>
      <c r="G97" s="213"/>
      <c r="H97" s="215"/>
      <c r="I97" s="213">
        <v>35356.6</v>
      </c>
      <c r="J97" s="214">
        <v>12</v>
      </c>
      <c r="K97" s="215"/>
      <c r="L97" s="215"/>
      <c r="M97" s="213">
        <v>37799.289999999979</v>
      </c>
      <c r="N97" s="214">
        <v>373620.72</v>
      </c>
      <c r="O97" s="211">
        <v>379606.92454833398</v>
      </c>
      <c r="P97" s="215"/>
      <c r="Q97" s="211">
        <f>O97-D97</f>
        <v>78888.639807424217</v>
      </c>
      <c r="R97" s="233">
        <f t="shared" si="9"/>
        <v>78888.639807424217</v>
      </c>
    </row>
    <row r="98" spans="1:18" hidden="1">
      <c r="A98" s="216" t="s">
        <v>203</v>
      </c>
      <c r="B98" s="207"/>
      <c r="C98" s="208"/>
      <c r="D98" s="209"/>
      <c r="E98" s="210"/>
      <c r="F98" s="210"/>
      <c r="G98" s="207"/>
      <c r="H98" s="210"/>
      <c r="I98" s="208">
        <v>5599.3601925757002</v>
      </c>
      <c r="J98" s="208">
        <v>5611.3601925757002</v>
      </c>
      <c r="K98" s="210"/>
      <c r="L98" s="210"/>
      <c r="M98" s="207"/>
      <c r="N98" s="208"/>
      <c r="O98" s="211"/>
      <c r="P98" s="210"/>
      <c r="Q98" s="204"/>
    </row>
    <row r="99" spans="1:18" hidden="1">
      <c r="A99" s="216">
        <v>6.3144</v>
      </c>
      <c r="B99" s="203"/>
      <c r="C99" s="203"/>
      <c r="D99" s="204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12"/>
      <c r="P99" s="203"/>
      <c r="Q99" s="204"/>
    </row>
    <row r="100" spans="1:18" hidden="1">
      <c r="A100" s="203"/>
      <c r="B100" s="203"/>
      <c r="C100" s="203"/>
      <c r="D100" s="204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12"/>
      <c r="P100" s="203"/>
      <c r="Q100" s="204"/>
    </row>
    <row r="101" spans="1:18" s="282" customFormat="1" hidden="1">
      <c r="A101" s="200">
        <v>41214</v>
      </c>
      <c r="B101" s="561" t="s">
        <v>204</v>
      </c>
      <c r="C101" s="561"/>
      <c r="D101" s="561"/>
      <c r="E101" s="562" t="s">
        <v>254</v>
      </c>
      <c r="F101" s="562"/>
      <c r="G101" s="562" t="s">
        <v>191</v>
      </c>
      <c r="H101" s="562"/>
      <c r="I101" s="562" t="s">
        <v>192</v>
      </c>
      <c r="J101" s="562"/>
      <c r="K101" s="562" t="s">
        <v>193</v>
      </c>
      <c r="L101" s="562"/>
      <c r="M101" s="563" t="s">
        <v>789</v>
      </c>
      <c r="N101" s="563"/>
      <c r="O101" s="563"/>
      <c r="P101" s="252" t="s">
        <v>194</v>
      </c>
      <c r="Q101" s="217"/>
      <c r="R101" s="234" t="s">
        <v>996</v>
      </c>
    </row>
    <row r="102" spans="1:18" hidden="1">
      <c r="A102" s="202" t="s">
        <v>195</v>
      </c>
      <c r="B102" s="202" t="s">
        <v>596</v>
      </c>
      <c r="C102" s="202" t="s">
        <v>597</v>
      </c>
      <c r="D102" s="202" t="s">
        <v>207</v>
      </c>
      <c r="E102" s="202" t="s">
        <v>596</v>
      </c>
      <c r="F102" s="202" t="s">
        <v>597</v>
      </c>
      <c r="G102" s="202" t="s">
        <v>596</v>
      </c>
      <c r="H102" s="202" t="s">
        <v>597</v>
      </c>
      <c r="I102" s="202" t="s">
        <v>596</v>
      </c>
      <c r="J102" s="202" t="s">
        <v>597</v>
      </c>
      <c r="K102" s="202" t="s">
        <v>596</v>
      </c>
      <c r="L102" s="202" t="s">
        <v>597</v>
      </c>
      <c r="M102" s="202" t="s">
        <v>596</v>
      </c>
      <c r="N102" s="202" t="s">
        <v>597</v>
      </c>
      <c r="O102" s="202" t="s">
        <v>207</v>
      </c>
      <c r="P102" s="203"/>
      <c r="Q102" s="204"/>
    </row>
    <row r="103" spans="1:18" hidden="1">
      <c r="A103" s="206" t="s">
        <v>196</v>
      </c>
      <c r="B103" s="207">
        <v>0</v>
      </c>
      <c r="C103" s="208">
        <v>368607.78</v>
      </c>
      <c r="D103" s="209">
        <v>368607.78</v>
      </c>
      <c r="E103" s="210"/>
      <c r="F103" s="208"/>
      <c r="G103" s="207"/>
      <c r="H103" s="208"/>
      <c r="I103" s="210"/>
      <c r="J103" s="208">
        <v>150093</v>
      </c>
      <c r="K103" s="210"/>
      <c r="L103" s="208">
        <v>100000</v>
      </c>
      <c r="M103" s="207">
        <v>0</v>
      </c>
      <c r="N103" s="208">
        <v>118514.78</v>
      </c>
      <c r="O103" s="211">
        <v>118514.78</v>
      </c>
      <c r="P103" s="210" t="s">
        <v>197</v>
      </c>
      <c r="Q103" s="204"/>
      <c r="R103" s="232">
        <f>O103-D103</f>
        <v>-250093.00000000003</v>
      </c>
    </row>
    <row r="104" spans="1:18" hidden="1">
      <c r="A104" s="206" t="s">
        <v>198</v>
      </c>
      <c r="B104" s="207">
        <v>5279.6700000000019</v>
      </c>
      <c r="C104" s="208">
        <v>0</v>
      </c>
      <c r="D104" s="209">
        <v>847.90820177622197</v>
      </c>
      <c r="E104" s="207"/>
      <c r="F104" s="210"/>
      <c r="G104" s="207">
        <v>8000</v>
      </c>
      <c r="H104" s="210"/>
      <c r="I104" s="207">
        <v>5468.07</v>
      </c>
      <c r="J104" s="210"/>
      <c r="K104" s="207"/>
      <c r="L104" s="210"/>
      <c r="M104" s="207">
        <v>7811.6000000000022</v>
      </c>
      <c r="N104" s="208">
        <v>0</v>
      </c>
      <c r="O104" s="211">
        <v>1254.5328986461529</v>
      </c>
      <c r="P104" s="210" t="s">
        <v>199</v>
      </c>
      <c r="Q104" s="204"/>
      <c r="R104" s="232">
        <f t="shared" ref="R104:R107" si="10">O104-D104</f>
        <v>406.62469686993097</v>
      </c>
    </row>
    <row r="105" spans="1:18" hidden="1">
      <c r="A105" s="206" t="s">
        <v>200</v>
      </c>
      <c r="B105" s="207">
        <v>917.64999999998861</v>
      </c>
      <c r="C105" s="208">
        <v>0</v>
      </c>
      <c r="D105" s="209">
        <v>147.37340806526552</v>
      </c>
      <c r="E105" s="207"/>
      <c r="F105" s="208"/>
      <c r="G105" s="207">
        <v>119900</v>
      </c>
      <c r="H105" s="210"/>
      <c r="I105" s="207">
        <v>14232.6</v>
      </c>
      <c r="J105" s="210"/>
      <c r="K105" s="207">
        <v>48000</v>
      </c>
      <c r="L105" s="208"/>
      <c r="M105" s="207">
        <v>58585.049999999996</v>
      </c>
      <c r="N105" s="208">
        <v>0</v>
      </c>
      <c r="O105" s="211">
        <v>9408.6835723577515</v>
      </c>
      <c r="P105" s="210" t="s">
        <v>201</v>
      </c>
      <c r="Q105" s="204"/>
      <c r="R105" s="232">
        <f t="shared" si="10"/>
        <v>9261.3101642924867</v>
      </c>
    </row>
    <row r="106" spans="1:18" hidden="1">
      <c r="A106" s="206" t="s">
        <v>202</v>
      </c>
      <c r="B106" s="207">
        <v>31601.96999999999</v>
      </c>
      <c r="C106" s="208">
        <v>5012.9400000000005</v>
      </c>
      <c r="D106" s="209">
        <v>10088.175678609859</v>
      </c>
      <c r="E106" s="207"/>
      <c r="F106" s="208"/>
      <c r="G106" s="207"/>
      <c r="H106" s="208">
        <v>99970</v>
      </c>
      <c r="I106" s="207">
        <v>10</v>
      </c>
      <c r="J106" s="210"/>
      <c r="K106" s="207">
        <v>20000</v>
      </c>
      <c r="L106" s="210"/>
      <c r="M106" s="207">
        <v>11591.969999999987</v>
      </c>
      <c r="N106" s="208">
        <v>104982.94</v>
      </c>
      <c r="O106" s="211">
        <v>106844.5954515233</v>
      </c>
      <c r="P106" s="210" t="s">
        <v>199</v>
      </c>
      <c r="Q106" s="204"/>
      <c r="R106" s="232">
        <f t="shared" si="10"/>
        <v>96756.419772913447</v>
      </c>
    </row>
    <row r="107" spans="1:18" s="284" customFormat="1" hidden="1">
      <c r="A107" s="212" t="s">
        <v>209</v>
      </c>
      <c r="B107" s="213">
        <v>37799.289999999979</v>
      </c>
      <c r="C107" s="214">
        <v>373620.72</v>
      </c>
      <c r="D107" s="211">
        <v>379691.23728845135</v>
      </c>
      <c r="E107" s="215"/>
      <c r="F107" s="215"/>
      <c r="G107" s="213"/>
      <c r="H107" s="215"/>
      <c r="I107" s="213">
        <v>19710.669999999998</v>
      </c>
      <c r="J107" s="214">
        <v>150093</v>
      </c>
      <c r="K107" s="215"/>
      <c r="L107" s="215"/>
      <c r="M107" s="213">
        <v>77988.619999999981</v>
      </c>
      <c r="N107" s="214">
        <v>223497.72</v>
      </c>
      <c r="O107" s="211">
        <v>236022.59192252721</v>
      </c>
      <c r="P107" s="215"/>
      <c r="Q107" s="211">
        <f>O107-D107</f>
        <v>-143668.64536592414</v>
      </c>
      <c r="R107" s="233">
        <f t="shared" si="10"/>
        <v>-143668.64536592414</v>
      </c>
    </row>
    <row r="108" spans="1:18" hidden="1">
      <c r="A108" s="216" t="s">
        <v>203</v>
      </c>
      <c r="B108" s="207"/>
      <c r="C108" s="208"/>
      <c r="D108" s="209"/>
      <c r="E108" s="210"/>
      <c r="F108" s="210"/>
      <c r="G108" s="207"/>
      <c r="H108" s="210"/>
      <c r="I108" s="208">
        <v>3165.508214624118</v>
      </c>
      <c r="J108" s="208">
        <v>153258.50821462407</v>
      </c>
      <c r="K108" s="210"/>
      <c r="L108" s="210"/>
      <c r="M108" s="207"/>
      <c r="N108" s="208"/>
      <c r="O108" s="211"/>
      <c r="P108" s="210"/>
      <c r="Q108" s="204"/>
    </row>
    <row r="109" spans="1:18" hidden="1">
      <c r="A109" s="216">
        <v>6.2267000000000001</v>
      </c>
      <c r="B109" s="203"/>
      <c r="C109" s="203"/>
      <c r="D109" s="204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12"/>
      <c r="P109" s="203"/>
      <c r="Q109" s="204"/>
    </row>
    <row r="110" spans="1:18" hidden="1">
      <c r="A110" s="203"/>
      <c r="B110" s="203"/>
      <c r="C110" s="203"/>
      <c r="D110" s="204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12"/>
      <c r="P110" s="203"/>
      <c r="Q110" s="204"/>
    </row>
    <row r="111" spans="1:18" s="282" customFormat="1" hidden="1">
      <c r="A111" s="200">
        <v>41244</v>
      </c>
      <c r="B111" s="561" t="s">
        <v>255</v>
      </c>
      <c r="C111" s="561"/>
      <c r="D111" s="561"/>
      <c r="E111" s="562" t="s">
        <v>190</v>
      </c>
      <c r="F111" s="562"/>
      <c r="G111" s="562" t="s">
        <v>191</v>
      </c>
      <c r="H111" s="562"/>
      <c r="I111" s="562" t="s">
        <v>192</v>
      </c>
      <c r="J111" s="562"/>
      <c r="K111" s="562" t="s">
        <v>193</v>
      </c>
      <c r="L111" s="562"/>
      <c r="M111" s="563" t="s">
        <v>205</v>
      </c>
      <c r="N111" s="563"/>
      <c r="O111" s="563"/>
      <c r="P111" s="252" t="s">
        <v>194</v>
      </c>
      <c r="Q111" s="217"/>
      <c r="R111" s="234" t="s">
        <v>996</v>
      </c>
    </row>
    <row r="112" spans="1:18" hidden="1">
      <c r="A112" s="202" t="s">
        <v>195</v>
      </c>
      <c r="B112" s="202" t="s">
        <v>596</v>
      </c>
      <c r="C112" s="202" t="s">
        <v>597</v>
      </c>
      <c r="D112" s="202" t="s">
        <v>207</v>
      </c>
      <c r="E112" s="202" t="s">
        <v>596</v>
      </c>
      <c r="F112" s="202" t="s">
        <v>597</v>
      </c>
      <c r="G112" s="202" t="s">
        <v>596</v>
      </c>
      <c r="H112" s="202" t="s">
        <v>597</v>
      </c>
      <c r="I112" s="202" t="s">
        <v>596</v>
      </c>
      <c r="J112" s="202" t="s">
        <v>597</v>
      </c>
      <c r="K112" s="202" t="s">
        <v>596</v>
      </c>
      <c r="L112" s="202" t="s">
        <v>597</v>
      </c>
      <c r="M112" s="202" t="s">
        <v>596</v>
      </c>
      <c r="N112" s="202" t="s">
        <v>597</v>
      </c>
      <c r="O112" s="202" t="s">
        <v>207</v>
      </c>
      <c r="P112" s="203"/>
      <c r="Q112" s="204"/>
    </row>
    <row r="113" spans="1:18" hidden="1">
      <c r="A113" s="206" t="s">
        <v>196</v>
      </c>
      <c r="B113" s="207">
        <v>0</v>
      </c>
      <c r="C113" s="208">
        <v>118514.78</v>
      </c>
      <c r="D113" s="209">
        <v>118514.78</v>
      </c>
      <c r="E113" s="210"/>
      <c r="F113" s="208"/>
      <c r="G113" s="207"/>
      <c r="H113" s="208"/>
      <c r="I113" s="210"/>
      <c r="J113" s="208">
        <v>21438.7</v>
      </c>
      <c r="K113" s="210"/>
      <c r="L113" s="208"/>
      <c r="M113" s="207">
        <v>0</v>
      </c>
      <c r="N113" s="208">
        <v>97076.080000000031</v>
      </c>
      <c r="O113" s="211">
        <v>97076.080000000031</v>
      </c>
      <c r="P113" s="210" t="s">
        <v>197</v>
      </c>
      <c r="Q113" s="204"/>
      <c r="R113" s="232">
        <f>O113-D113</f>
        <v>-21438.699999999968</v>
      </c>
    </row>
    <row r="114" spans="1:18" hidden="1">
      <c r="A114" s="206" t="s">
        <v>198</v>
      </c>
      <c r="B114" s="207">
        <v>7811.6000000000022</v>
      </c>
      <c r="C114" s="208">
        <v>0</v>
      </c>
      <c r="D114" s="209">
        <v>1242.796913531143</v>
      </c>
      <c r="E114" s="207">
        <v>6.82</v>
      </c>
      <c r="F114" s="210"/>
      <c r="G114" s="207">
        <v>400000</v>
      </c>
      <c r="H114" s="210"/>
      <c r="I114" s="207">
        <v>4417.1400000000003</v>
      </c>
      <c r="J114" s="210"/>
      <c r="K114" s="207"/>
      <c r="L114" s="210"/>
      <c r="M114" s="207">
        <v>403401.28</v>
      </c>
      <c r="N114" s="208">
        <v>0</v>
      </c>
      <c r="O114" s="211">
        <v>64179.66430673773</v>
      </c>
      <c r="P114" s="210" t="s">
        <v>199</v>
      </c>
      <c r="Q114" s="204"/>
      <c r="R114" s="232">
        <f t="shared" ref="R114:R117" si="11">O114-D114</f>
        <v>62936.867393206587</v>
      </c>
    </row>
    <row r="115" spans="1:18" hidden="1">
      <c r="A115" s="206" t="s">
        <v>200</v>
      </c>
      <c r="B115" s="207">
        <v>58585.049999999996</v>
      </c>
      <c r="C115" s="208">
        <v>0</v>
      </c>
      <c r="D115" s="209">
        <v>9320.666613634552</v>
      </c>
      <c r="E115" s="207">
        <v>14.21</v>
      </c>
      <c r="F115" s="208"/>
      <c r="G115" s="207"/>
      <c r="H115" s="210"/>
      <c r="I115" s="207">
        <v>6061.5</v>
      </c>
      <c r="J115" s="210"/>
      <c r="K115" s="207">
        <v>40000</v>
      </c>
      <c r="L115" s="208"/>
      <c r="M115" s="207">
        <v>12537.759999999987</v>
      </c>
      <c r="N115" s="208">
        <v>0</v>
      </c>
      <c r="O115" s="211">
        <v>1994.711637896746</v>
      </c>
      <c r="P115" s="210" t="s">
        <v>201</v>
      </c>
      <c r="Q115" s="204"/>
      <c r="R115" s="232">
        <f t="shared" si="11"/>
        <v>-7325.9549757378063</v>
      </c>
    </row>
    <row r="116" spans="1:18" hidden="1">
      <c r="A116" s="206" t="s">
        <v>202</v>
      </c>
      <c r="B116" s="207">
        <v>11591.969999999987</v>
      </c>
      <c r="C116" s="208">
        <v>104982.94</v>
      </c>
      <c r="D116" s="209">
        <v>106827.17991726991</v>
      </c>
      <c r="E116" s="207">
        <v>23.27</v>
      </c>
      <c r="F116" s="208">
        <v>3.78</v>
      </c>
      <c r="G116" s="207">
        <v>192256</v>
      </c>
      <c r="H116" s="208"/>
      <c r="I116" s="207"/>
      <c r="J116" s="210"/>
      <c r="K116" s="207">
        <v>200000</v>
      </c>
      <c r="L116" s="208">
        <v>70000</v>
      </c>
      <c r="M116" s="207">
        <v>3871.2399999999907</v>
      </c>
      <c r="N116" s="208">
        <v>34986.720000000001</v>
      </c>
      <c r="O116" s="211">
        <v>35602.620087502975</v>
      </c>
      <c r="P116" s="210" t="s">
        <v>199</v>
      </c>
      <c r="Q116" s="204"/>
      <c r="R116" s="232">
        <f t="shared" si="11"/>
        <v>-71224.559829766935</v>
      </c>
    </row>
    <row r="117" spans="1:18" s="284" customFormat="1" hidden="1">
      <c r="A117" s="212" t="s">
        <v>209</v>
      </c>
      <c r="B117" s="213">
        <v>77988.619999999981</v>
      </c>
      <c r="C117" s="214">
        <v>223497.72</v>
      </c>
      <c r="D117" s="211">
        <v>235905.42344443561</v>
      </c>
      <c r="E117" s="215"/>
      <c r="F117" s="215"/>
      <c r="G117" s="213"/>
      <c r="H117" s="215"/>
      <c r="I117" s="213">
        <v>10478.64</v>
      </c>
      <c r="J117" s="214">
        <v>21438.7</v>
      </c>
      <c r="K117" s="215"/>
      <c r="L117" s="215"/>
      <c r="M117" s="213">
        <v>419810.28</v>
      </c>
      <c r="N117" s="214">
        <v>132062.79999999999</v>
      </c>
      <c r="O117" s="211">
        <v>198853.0760321375</v>
      </c>
      <c r="P117" s="215"/>
      <c r="Q117" s="211">
        <f>O117-D117</f>
        <v>-37052.347412298113</v>
      </c>
      <c r="R117" s="233">
        <f t="shared" si="11"/>
        <v>-37052.347412298113</v>
      </c>
    </row>
    <row r="118" spans="1:18" hidden="1">
      <c r="A118" s="216" t="s">
        <v>203</v>
      </c>
      <c r="B118" s="203"/>
      <c r="C118" s="203"/>
      <c r="D118" s="204"/>
      <c r="E118" s="203"/>
      <c r="F118" s="203"/>
      <c r="G118" s="203"/>
      <c r="H118" s="203"/>
      <c r="I118" s="208">
        <v>1667.1131970408078</v>
      </c>
      <c r="J118" s="208">
        <v>23105.81319704081</v>
      </c>
      <c r="K118" s="203"/>
      <c r="L118" s="203"/>
      <c r="M118" s="203"/>
      <c r="N118" s="203"/>
      <c r="O118" s="212"/>
      <c r="P118" s="203"/>
      <c r="Q118" s="204"/>
    </row>
    <row r="119" spans="1:18" hidden="1">
      <c r="A119" s="216">
        <v>6.2854999999999999</v>
      </c>
      <c r="B119" s="203"/>
      <c r="C119" s="203"/>
      <c r="D119" s="204"/>
      <c r="E119" s="203"/>
      <c r="F119" s="203"/>
      <c r="G119" s="203"/>
      <c r="H119" s="203"/>
      <c r="I119" s="208"/>
      <c r="J119" s="208"/>
      <c r="K119" s="203"/>
      <c r="L119" s="203"/>
      <c r="M119" s="203"/>
      <c r="N119" s="203"/>
      <c r="O119" s="212"/>
      <c r="P119" s="203"/>
      <c r="Q119" s="204"/>
    </row>
    <row r="120" spans="1:18" hidden="1">
      <c r="A120" s="216"/>
      <c r="B120" s="203"/>
      <c r="C120" s="203"/>
      <c r="D120" s="204"/>
      <c r="E120" s="203"/>
      <c r="F120" s="203"/>
      <c r="G120" s="203"/>
      <c r="H120" s="203"/>
      <c r="I120" s="208"/>
      <c r="J120" s="208"/>
      <c r="K120" s="203"/>
      <c r="L120" s="203"/>
      <c r="M120" s="203"/>
      <c r="N120" s="203"/>
      <c r="O120" s="212"/>
      <c r="P120" s="203"/>
      <c r="Q120" s="204"/>
    </row>
    <row r="121" spans="1:18" hidden="1">
      <c r="A121" s="216"/>
      <c r="B121" s="203"/>
      <c r="C121" s="203"/>
      <c r="D121" s="204"/>
      <c r="E121" s="203"/>
      <c r="F121" s="203"/>
      <c r="G121" s="203"/>
      <c r="H121" s="203"/>
      <c r="I121" s="208"/>
      <c r="J121" s="208"/>
      <c r="K121" s="203"/>
      <c r="L121" s="203"/>
      <c r="M121" s="203"/>
      <c r="N121" s="203"/>
      <c r="O121" s="212"/>
      <c r="P121" s="203"/>
      <c r="Q121" s="204"/>
    </row>
    <row r="122" spans="1:18" hidden="1">
      <c r="A122" s="216"/>
      <c r="B122" s="203"/>
      <c r="C122" s="203"/>
      <c r="D122" s="204"/>
      <c r="E122" s="203"/>
      <c r="F122" s="203"/>
      <c r="G122" s="203"/>
      <c r="H122" s="203"/>
      <c r="I122" s="208"/>
      <c r="J122" s="208"/>
      <c r="K122" s="203"/>
      <c r="L122" s="203"/>
      <c r="M122" s="203"/>
      <c r="N122" s="203"/>
      <c r="O122" s="212"/>
      <c r="P122" s="203"/>
      <c r="Q122" s="204"/>
    </row>
    <row r="123" spans="1:18" hidden="1">
      <c r="A123" s="216"/>
      <c r="B123" s="203"/>
      <c r="C123" s="203"/>
      <c r="D123" s="204"/>
      <c r="E123" s="203"/>
      <c r="F123" s="203"/>
      <c r="G123" s="203"/>
      <c r="H123" s="203"/>
      <c r="I123" s="208"/>
      <c r="J123" s="208"/>
      <c r="K123" s="203"/>
      <c r="L123" s="203"/>
      <c r="M123" s="203"/>
      <c r="N123" s="203"/>
      <c r="O123" s="212"/>
      <c r="P123" s="203"/>
      <c r="Q123" s="204"/>
    </row>
    <row r="124" spans="1:18">
      <c r="A124" s="200">
        <v>41275</v>
      </c>
      <c r="B124" s="561" t="s">
        <v>245</v>
      </c>
      <c r="C124" s="561"/>
      <c r="D124" s="561"/>
      <c r="E124" s="564" t="s">
        <v>1017</v>
      </c>
      <c r="F124" s="564"/>
      <c r="G124" s="564" t="s">
        <v>1018</v>
      </c>
      <c r="H124" s="564"/>
      <c r="I124" s="564" t="s">
        <v>1019</v>
      </c>
      <c r="J124" s="564"/>
      <c r="K124" s="564" t="s">
        <v>1020</v>
      </c>
      <c r="L124" s="564"/>
      <c r="M124" s="563" t="s">
        <v>1028</v>
      </c>
      <c r="N124" s="563"/>
      <c r="O124" s="563"/>
      <c r="P124" s="203"/>
      <c r="Q124" s="204"/>
      <c r="R124" s="234" t="s">
        <v>996</v>
      </c>
    </row>
    <row r="125" spans="1:18">
      <c r="A125" s="202" t="s">
        <v>195</v>
      </c>
      <c r="B125" s="202" t="s">
        <v>596</v>
      </c>
      <c r="C125" s="202" t="s">
        <v>597</v>
      </c>
      <c r="D125" s="202" t="s">
        <v>247</v>
      </c>
      <c r="E125" s="285" t="s">
        <v>596</v>
      </c>
      <c r="F125" s="285" t="s">
        <v>597</v>
      </c>
      <c r="G125" s="285" t="s">
        <v>596</v>
      </c>
      <c r="H125" s="285" t="s">
        <v>597</v>
      </c>
      <c r="I125" s="285" t="s">
        <v>596</v>
      </c>
      <c r="J125" s="285" t="s">
        <v>597</v>
      </c>
      <c r="K125" s="285" t="s">
        <v>596</v>
      </c>
      <c r="L125" s="285" t="s">
        <v>597</v>
      </c>
      <c r="M125" s="285" t="s">
        <v>596</v>
      </c>
      <c r="N125" s="285" t="s">
        <v>597</v>
      </c>
      <c r="O125" s="202" t="s">
        <v>247</v>
      </c>
      <c r="P125" s="203"/>
      <c r="Q125" s="204"/>
    </row>
    <row r="126" spans="1:18">
      <c r="A126" s="286" t="s">
        <v>1021</v>
      </c>
      <c r="B126" s="287">
        <v>403401.28</v>
      </c>
      <c r="C126" s="288">
        <v>0</v>
      </c>
      <c r="D126" s="209">
        <f>B126/6.215</f>
        <v>64907.687851971044</v>
      </c>
      <c r="E126" s="289"/>
      <c r="F126" s="290"/>
      <c r="G126" s="290"/>
      <c r="H126" s="290"/>
      <c r="I126" s="289">
        <v>19509.759999999998</v>
      </c>
      <c r="J126" s="290"/>
      <c r="K126" s="289">
        <v>55000</v>
      </c>
      <c r="L126" s="290"/>
      <c r="M126" s="291">
        <f>B126+E126-I126-K126</f>
        <v>328891.52000000002</v>
      </c>
      <c r="N126" s="292">
        <v>0</v>
      </c>
      <c r="O126" s="211">
        <f>M126/6.215</f>
        <v>52918.98954143202</v>
      </c>
      <c r="P126" s="203"/>
      <c r="Q126" s="204"/>
      <c r="R126" s="232">
        <f>O126-D126</f>
        <v>-11988.698310539025</v>
      </c>
    </row>
    <row r="127" spans="1:18">
      <c r="A127" s="293" t="s">
        <v>1029</v>
      </c>
      <c r="B127" s="289">
        <v>12537.76</v>
      </c>
      <c r="C127" s="294">
        <v>1.47</v>
      </c>
      <c r="D127" s="209">
        <f>B127/6.215+C127</f>
        <v>2018.8086967015286</v>
      </c>
      <c r="E127" s="289"/>
      <c r="F127" s="295"/>
      <c r="G127" s="289">
        <v>30000</v>
      </c>
      <c r="H127" s="294"/>
      <c r="I127" s="289">
        <v>30127</v>
      </c>
      <c r="J127" s="295"/>
      <c r="K127" s="289"/>
      <c r="L127" s="295"/>
      <c r="M127" s="291">
        <f>B127+E127+G127-I127-K127</f>
        <v>12410.760000000002</v>
      </c>
      <c r="N127" s="292">
        <f>C127+H127</f>
        <v>1.47</v>
      </c>
      <c r="O127" s="211">
        <f>M127/6.215+N127</f>
        <v>1998.3742638777155</v>
      </c>
      <c r="P127" s="203"/>
      <c r="Q127" s="204"/>
      <c r="R127" s="232">
        <f t="shared" ref="R127:R130" si="12">O127-D127</f>
        <v>-20.43443282381304</v>
      </c>
    </row>
    <row r="128" spans="1:18">
      <c r="A128" s="286" t="s">
        <v>1030</v>
      </c>
      <c r="B128" s="287">
        <v>3871.24</v>
      </c>
      <c r="C128" s="288">
        <v>34986.720000000001</v>
      </c>
      <c r="D128" s="209">
        <f>B128/6.215+C128</f>
        <v>35609.606564762675</v>
      </c>
      <c r="E128" s="289"/>
      <c r="F128" s="288"/>
      <c r="G128" s="290"/>
      <c r="H128" s="290"/>
      <c r="I128" s="290"/>
      <c r="J128" s="290"/>
      <c r="K128" s="290"/>
      <c r="L128" s="290"/>
      <c r="M128" s="291">
        <f>B128+E128</f>
        <v>3871.24</v>
      </c>
      <c r="N128" s="292">
        <f>C128+F128</f>
        <v>34986.720000000001</v>
      </c>
      <c r="O128" s="211">
        <f>M128/6.215+N128</f>
        <v>35609.606564762675</v>
      </c>
      <c r="P128" s="203"/>
      <c r="Q128" s="204"/>
      <c r="R128" s="232">
        <f t="shared" si="12"/>
        <v>0</v>
      </c>
    </row>
    <row r="129" spans="1:18">
      <c r="A129" s="293" t="s">
        <v>1022</v>
      </c>
      <c r="B129" s="289">
        <v>0</v>
      </c>
      <c r="C129" s="294">
        <v>97076.08</v>
      </c>
      <c r="D129" s="209">
        <f>C129</f>
        <v>97076.08</v>
      </c>
      <c r="E129" s="295"/>
      <c r="F129" s="294"/>
      <c r="G129" s="295"/>
      <c r="H129" s="295"/>
      <c r="I129" s="295"/>
      <c r="J129" s="294">
        <v>6780</v>
      </c>
      <c r="K129" s="295"/>
      <c r="L129" s="294"/>
      <c r="M129" s="291">
        <v>0</v>
      </c>
      <c r="N129" s="292">
        <f>C129+F129-J129-L129</f>
        <v>90296.08</v>
      </c>
      <c r="O129" s="211">
        <f>N129</f>
        <v>90296.08</v>
      </c>
      <c r="P129" s="203"/>
      <c r="Q129" s="204"/>
      <c r="R129" s="232">
        <f t="shared" si="12"/>
        <v>-6780</v>
      </c>
    </row>
    <row r="130" spans="1:18">
      <c r="A130" s="296"/>
      <c r="B130" s="287">
        <f>SUM(B126,B127,B128,B129)</f>
        <v>419810.28</v>
      </c>
      <c r="C130" s="288">
        <f>SUM(C126:C129)</f>
        <v>132064.27000000002</v>
      </c>
      <c r="D130" s="211">
        <f>SUM(D126:D129)</f>
        <v>199612.18311343523</v>
      </c>
      <c r="E130" s="290"/>
      <c r="F130" s="290"/>
      <c r="G130" s="290"/>
      <c r="H130" s="290"/>
      <c r="I130" s="290"/>
      <c r="J130" s="290"/>
      <c r="K130" s="290"/>
      <c r="L130" s="290"/>
      <c r="M130" s="291">
        <f>SUM(M126:M129)</f>
        <v>345173.52</v>
      </c>
      <c r="N130" s="292">
        <f>SUM(N126:N129)</f>
        <v>125284.27</v>
      </c>
      <c r="O130" s="211">
        <f>SUM(O126:O129)</f>
        <v>180823.05037007242</v>
      </c>
      <c r="P130" s="203"/>
      <c r="Q130" s="204"/>
      <c r="R130" s="233">
        <f t="shared" si="12"/>
        <v>-18789.132743362803</v>
      </c>
    </row>
    <row r="131" spans="1:18">
      <c r="A131" s="297">
        <v>6.2149999999999999</v>
      </c>
      <c r="B131" s="203"/>
      <c r="C131" s="203"/>
      <c r="D131" s="204"/>
      <c r="E131" s="203"/>
      <c r="F131" s="203"/>
      <c r="G131" s="203"/>
      <c r="H131" s="203"/>
      <c r="I131" s="208"/>
      <c r="J131" s="208"/>
      <c r="K131" s="203"/>
      <c r="L131" s="203"/>
      <c r="M131" s="203"/>
      <c r="N131" s="203"/>
      <c r="O131" s="212"/>
      <c r="P131" s="203"/>
      <c r="Q131" s="204"/>
    </row>
    <row r="132" spans="1:18">
      <c r="A132" s="216"/>
      <c r="B132" s="203"/>
      <c r="C132" s="203"/>
      <c r="D132" s="204"/>
      <c r="E132" s="203"/>
      <c r="F132" s="203"/>
      <c r="G132" s="203"/>
      <c r="H132" s="203"/>
      <c r="I132" s="208"/>
      <c r="J132" s="208"/>
      <c r="K132" s="203"/>
      <c r="L132" s="203"/>
      <c r="M132" s="203"/>
      <c r="N132" s="203"/>
      <c r="O132" s="212"/>
      <c r="P132" s="203"/>
      <c r="Q132" s="204"/>
    </row>
    <row r="133" spans="1:18">
      <c r="A133" s="216"/>
      <c r="B133" s="203"/>
      <c r="C133" s="203"/>
      <c r="D133" s="204"/>
      <c r="E133" s="203"/>
      <c r="F133" s="203"/>
      <c r="G133" s="203"/>
      <c r="H133" s="203"/>
      <c r="I133" s="208"/>
      <c r="J133" s="208"/>
      <c r="K133" s="203"/>
      <c r="L133" s="203"/>
      <c r="M133" s="203"/>
      <c r="N133" s="203"/>
      <c r="O133" s="212"/>
      <c r="P133" s="203"/>
      <c r="Q133" s="204"/>
    </row>
    <row r="134" spans="1:18">
      <c r="A134" s="216"/>
      <c r="B134" s="203"/>
      <c r="C134" s="203"/>
      <c r="D134" s="204"/>
      <c r="E134" s="203"/>
      <c r="F134" s="203"/>
      <c r="G134" s="203"/>
      <c r="H134" s="203"/>
      <c r="I134" s="208"/>
      <c r="J134" s="208"/>
      <c r="K134" s="203"/>
      <c r="L134" s="203"/>
      <c r="M134" s="203"/>
      <c r="N134" s="203"/>
      <c r="O134" s="212"/>
      <c r="P134" s="203"/>
      <c r="Q134" s="204"/>
    </row>
    <row r="135" spans="1:18">
      <c r="A135" s="216"/>
      <c r="B135" s="203"/>
      <c r="C135" s="203"/>
      <c r="D135" s="204"/>
      <c r="E135" s="203"/>
      <c r="F135" s="203"/>
      <c r="G135" s="203"/>
      <c r="H135" s="203"/>
      <c r="I135" s="208"/>
      <c r="J135" s="208"/>
      <c r="K135" s="203"/>
      <c r="L135" s="203"/>
      <c r="M135" s="203"/>
      <c r="N135" s="203"/>
      <c r="O135" s="212"/>
      <c r="P135" s="203"/>
      <c r="Q135" s="204"/>
    </row>
    <row r="136" spans="1:18">
      <c r="A136" s="200">
        <v>41306</v>
      </c>
      <c r="B136" s="561" t="s">
        <v>245</v>
      </c>
      <c r="C136" s="561"/>
      <c r="D136" s="561"/>
      <c r="E136" s="564" t="s">
        <v>1017</v>
      </c>
      <c r="F136" s="564"/>
      <c r="G136" s="564" t="s">
        <v>1018</v>
      </c>
      <c r="H136" s="564"/>
      <c r="I136" s="564" t="s">
        <v>1019</v>
      </c>
      <c r="J136" s="564"/>
      <c r="K136" s="564" t="s">
        <v>1020</v>
      </c>
      <c r="L136" s="564"/>
      <c r="M136" s="563" t="s">
        <v>1028</v>
      </c>
      <c r="N136" s="563"/>
      <c r="O136" s="563"/>
      <c r="P136" s="203"/>
      <c r="Q136" s="204"/>
      <c r="R136" s="234" t="s">
        <v>996</v>
      </c>
    </row>
    <row r="137" spans="1:18">
      <c r="A137" s="202" t="s">
        <v>195</v>
      </c>
      <c r="B137" s="202" t="s">
        <v>596</v>
      </c>
      <c r="C137" s="202" t="s">
        <v>597</v>
      </c>
      <c r="D137" s="202" t="s">
        <v>247</v>
      </c>
      <c r="E137" s="285" t="s">
        <v>596</v>
      </c>
      <c r="F137" s="285" t="s">
        <v>597</v>
      </c>
      <c r="G137" s="285" t="s">
        <v>596</v>
      </c>
      <c r="H137" s="285" t="s">
        <v>597</v>
      </c>
      <c r="I137" s="285" t="s">
        <v>596</v>
      </c>
      <c r="J137" s="285" t="s">
        <v>597</v>
      </c>
      <c r="K137" s="285" t="s">
        <v>596</v>
      </c>
      <c r="L137" s="285" t="s">
        <v>597</v>
      </c>
      <c r="M137" s="285" t="s">
        <v>596</v>
      </c>
      <c r="N137" s="285" t="s">
        <v>597</v>
      </c>
      <c r="O137" s="202" t="s">
        <v>247</v>
      </c>
      <c r="P137" s="203"/>
      <c r="Q137" s="204"/>
    </row>
    <row r="138" spans="1:18">
      <c r="A138" s="286" t="s">
        <v>1021</v>
      </c>
      <c r="B138" s="287">
        <f t="shared" ref="B138:D142" si="13">M126</f>
        <v>328891.52000000002</v>
      </c>
      <c r="C138" s="288">
        <f t="shared" si="13"/>
        <v>0</v>
      </c>
      <c r="D138" s="209">
        <f t="shared" si="13"/>
        <v>52918.98954143202</v>
      </c>
      <c r="E138" s="289"/>
      <c r="F138" s="290"/>
      <c r="G138" s="290"/>
      <c r="H138" s="290"/>
      <c r="I138" s="289">
        <v>5472.52</v>
      </c>
      <c r="J138" s="290"/>
      <c r="K138" s="289">
        <v>125000</v>
      </c>
      <c r="L138" s="290"/>
      <c r="M138" s="291">
        <f>B138+E138-I138-K138</f>
        <v>198419</v>
      </c>
      <c r="N138" s="292">
        <v>0</v>
      </c>
      <c r="O138" s="211">
        <f>M138/6.2779</f>
        <v>31605.951034581627</v>
      </c>
      <c r="P138" s="203"/>
      <c r="Q138" s="204"/>
      <c r="R138" s="232">
        <f>O138-D138</f>
        <v>-21313.038506850393</v>
      </c>
    </row>
    <row r="139" spans="1:18">
      <c r="A139" s="293" t="s">
        <v>1029</v>
      </c>
      <c r="B139" s="287">
        <f t="shared" si="13"/>
        <v>12410.760000000002</v>
      </c>
      <c r="C139" s="288">
        <f t="shared" si="13"/>
        <v>1.47</v>
      </c>
      <c r="D139" s="209">
        <f t="shared" si="13"/>
        <v>1998.3742638777155</v>
      </c>
      <c r="E139" s="289"/>
      <c r="F139" s="295"/>
      <c r="G139" s="289"/>
      <c r="H139" s="294"/>
      <c r="I139" s="289">
        <v>6177.77</v>
      </c>
      <c r="J139" s="295"/>
      <c r="K139" s="289"/>
      <c r="L139" s="295"/>
      <c r="M139" s="291">
        <f>B139+E139+G139-I139-K139</f>
        <v>6232.9900000000016</v>
      </c>
      <c r="N139" s="292">
        <f>C139+H139</f>
        <v>1.47</v>
      </c>
      <c r="O139" s="211">
        <f>M139/6.2779+N139</f>
        <v>994.31633396517975</v>
      </c>
      <c r="P139" s="203"/>
      <c r="Q139" s="204"/>
      <c r="R139" s="232">
        <f t="shared" ref="R139:R142" si="14">O139-D139</f>
        <v>-1004.0579299125358</v>
      </c>
    </row>
    <row r="140" spans="1:18">
      <c r="A140" s="286" t="s">
        <v>1030</v>
      </c>
      <c r="B140" s="287">
        <f t="shared" si="13"/>
        <v>3871.24</v>
      </c>
      <c r="C140" s="288">
        <f t="shared" si="13"/>
        <v>34986.720000000001</v>
      </c>
      <c r="D140" s="209">
        <f t="shared" si="13"/>
        <v>35609.606564762675</v>
      </c>
      <c r="E140" s="289"/>
      <c r="F140" s="288"/>
      <c r="G140" s="290"/>
      <c r="H140" s="290"/>
      <c r="I140" s="290"/>
      <c r="J140" s="290"/>
      <c r="K140" s="290"/>
      <c r="L140" s="290"/>
      <c r="M140" s="291">
        <f>B140+E140</f>
        <v>3871.24</v>
      </c>
      <c r="N140" s="292">
        <f>C140+F140</f>
        <v>34986.720000000001</v>
      </c>
      <c r="O140" s="211">
        <f>M140/6.2779+N140</f>
        <v>35603.365693623666</v>
      </c>
      <c r="P140" s="203"/>
      <c r="Q140" s="204"/>
      <c r="R140" s="232">
        <f t="shared" si="14"/>
        <v>-6.2408711390089593</v>
      </c>
    </row>
    <row r="141" spans="1:18">
      <c r="A141" s="293" t="s">
        <v>1022</v>
      </c>
      <c r="B141" s="287">
        <f t="shared" si="13"/>
        <v>0</v>
      </c>
      <c r="C141" s="288">
        <f t="shared" si="13"/>
        <v>90296.08</v>
      </c>
      <c r="D141" s="209">
        <f t="shared" si="13"/>
        <v>90296.08</v>
      </c>
      <c r="E141" s="295"/>
      <c r="F141" s="294">
        <f>265999+10.86</f>
        <v>266009.86</v>
      </c>
      <c r="G141" s="295"/>
      <c r="H141" s="295"/>
      <c r="I141" s="295"/>
      <c r="J141" s="294">
        <v>2800</v>
      </c>
      <c r="K141" s="295"/>
      <c r="L141" s="294"/>
      <c r="M141" s="291">
        <v>0</v>
      </c>
      <c r="N141" s="292">
        <f>C141+F141-J141-L141</f>
        <v>353505.94</v>
      </c>
      <c r="O141" s="211">
        <f>N141</f>
        <v>353505.94</v>
      </c>
      <c r="P141" s="203"/>
      <c r="Q141" s="204"/>
      <c r="R141" s="232">
        <f t="shared" si="14"/>
        <v>263209.86</v>
      </c>
    </row>
    <row r="142" spans="1:18">
      <c r="A142" s="296"/>
      <c r="B142" s="287">
        <f t="shared" si="13"/>
        <v>345173.52</v>
      </c>
      <c r="C142" s="288">
        <f t="shared" si="13"/>
        <v>125284.27</v>
      </c>
      <c r="D142" s="209">
        <f t="shared" si="13"/>
        <v>180823.05037007242</v>
      </c>
      <c r="E142" s="290"/>
      <c r="F142" s="290"/>
      <c r="G142" s="290"/>
      <c r="H142" s="290"/>
      <c r="I142" s="290"/>
      <c r="J142" s="290"/>
      <c r="K142" s="290"/>
      <c r="L142" s="290"/>
      <c r="M142" s="291">
        <f>SUM(M138:M141)</f>
        <v>208523.22999999998</v>
      </c>
      <c r="N142" s="292">
        <f>SUM(N138:N141)</f>
        <v>388494.13</v>
      </c>
      <c r="O142" s="211">
        <f>SUM(O138:O141)</f>
        <v>421709.57306217047</v>
      </c>
      <c r="P142" s="203"/>
      <c r="Q142" s="204"/>
      <c r="R142" s="233">
        <f t="shared" si="14"/>
        <v>240886.52269209805</v>
      </c>
    </row>
    <row r="143" spans="1:18">
      <c r="A143" s="297">
        <v>6.2778999999999998</v>
      </c>
      <c r="B143" s="203"/>
      <c r="C143" s="203"/>
      <c r="D143" s="204"/>
      <c r="E143" s="203"/>
      <c r="F143" s="203"/>
      <c r="G143" s="203"/>
      <c r="H143" s="203"/>
      <c r="I143" s="208"/>
      <c r="J143" s="208"/>
      <c r="K143" s="203"/>
      <c r="L143" s="203"/>
      <c r="M143" s="203"/>
      <c r="N143" s="203"/>
      <c r="O143" s="212"/>
      <c r="P143" s="203"/>
      <c r="Q143" s="204"/>
    </row>
    <row r="144" spans="1:18">
      <c r="A144" s="216"/>
      <c r="B144" s="203"/>
      <c r="C144" s="203"/>
      <c r="D144" s="204"/>
      <c r="E144" s="203"/>
      <c r="F144" s="203"/>
      <c r="G144" s="203"/>
      <c r="H144" s="203"/>
      <c r="I144" s="208"/>
      <c r="J144" s="208"/>
      <c r="K144" s="203"/>
      <c r="L144" s="203"/>
      <c r="M144" s="203"/>
      <c r="N144" s="203"/>
      <c r="O144" s="212"/>
      <c r="P144" s="203"/>
      <c r="Q144" s="204"/>
    </row>
    <row r="145" spans="1:18">
      <c r="A145" s="216"/>
      <c r="B145" s="203"/>
      <c r="C145" s="203"/>
      <c r="D145" s="204"/>
      <c r="E145" s="203"/>
      <c r="F145" s="203"/>
      <c r="G145" s="203"/>
      <c r="H145" s="203"/>
      <c r="I145" s="208"/>
      <c r="J145" s="208"/>
      <c r="K145" s="203"/>
      <c r="L145" s="203"/>
      <c r="M145" s="203"/>
      <c r="N145" s="203"/>
      <c r="O145" s="212"/>
      <c r="P145" s="203"/>
      <c r="Q145" s="204"/>
    </row>
    <row r="146" spans="1:18">
      <c r="A146" s="203"/>
      <c r="B146" s="203"/>
      <c r="C146" s="203"/>
      <c r="D146" s="204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12"/>
      <c r="P146" s="203"/>
      <c r="Q146" s="204"/>
    </row>
    <row r="147" spans="1:18">
      <c r="A147" s="200">
        <v>41334</v>
      </c>
      <c r="B147" s="561" t="s">
        <v>245</v>
      </c>
      <c r="C147" s="561"/>
      <c r="D147" s="561"/>
      <c r="E147" s="564" t="s">
        <v>1017</v>
      </c>
      <c r="F147" s="564"/>
      <c r="G147" s="564" t="s">
        <v>1018</v>
      </c>
      <c r="H147" s="564"/>
      <c r="I147" s="564" t="s">
        <v>1019</v>
      </c>
      <c r="J147" s="564"/>
      <c r="K147" s="564" t="s">
        <v>1020</v>
      </c>
      <c r="L147" s="564"/>
      <c r="M147" s="563" t="s">
        <v>1028</v>
      </c>
      <c r="N147" s="563"/>
      <c r="O147" s="563"/>
      <c r="P147" s="298" t="s">
        <v>194</v>
      </c>
      <c r="Q147" s="204"/>
      <c r="R147" s="234" t="s">
        <v>996</v>
      </c>
    </row>
    <row r="148" spans="1:18">
      <c r="A148" s="202" t="s">
        <v>195</v>
      </c>
      <c r="B148" s="202" t="s">
        <v>596</v>
      </c>
      <c r="C148" s="202" t="s">
        <v>597</v>
      </c>
      <c r="D148" s="202" t="s">
        <v>247</v>
      </c>
      <c r="E148" s="285" t="s">
        <v>596</v>
      </c>
      <c r="F148" s="285" t="s">
        <v>597</v>
      </c>
      <c r="G148" s="285" t="s">
        <v>596</v>
      </c>
      <c r="H148" s="285" t="s">
        <v>597</v>
      </c>
      <c r="I148" s="285" t="s">
        <v>596</v>
      </c>
      <c r="J148" s="285" t="s">
        <v>597</v>
      </c>
      <c r="K148" s="285" t="s">
        <v>596</v>
      </c>
      <c r="L148" s="285" t="s">
        <v>597</v>
      </c>
      <c r="M148" s="285" t="s">
        <v>596</v>
      </c>
      <c r="N148" s="285" t="s">
        <v>597</v>
      </c>
      <c r="O148" s="202" t="s">
        <v>247</v>
      </c>
      <c r="P148" s="299"/>
      <c r="Q148" s="204"/>
    </row>
    <row r="149" spans="1:18">
      <c r="A149" s="286" t="s">
        <v>1021</v>
      </c>
      <c r="B149" s="287">
        <v>198419</v>
      </c>
      <c r="C149" s="288">
        <v>0</v>
      </c>
      <c r="D149" s="209">
        <f>O138</f>
        <v>31605.951034581627</v>
      </c>
      <c r="E149" s="289">
        <v>228.76</v>
      </c>
      <c r="F149" s="290"/>
      <c r="G149" s="290"/>
      <c r="H149" s="290"/>
      <c r="I149" s="289">
        <f>4421.74+1988.32</f>
        <v>6410.0599999999995</v>
      </c>
      <c r="J149" s="290"/>
      <c r="K149" s="289">
        <v>125000</v>
      </c>
      <c r="L149" s="290"/>
      <c r="M149" s="291">
        <f>B149+E149-I149-K149</f>
        <v>67237.700000000012</v>
      </c>
      <c r="N149" s="292">
        <v>0</v>
      </c>
      <c r="O149" s="211">
        <f>M149/6.2689</f>
        <v>10725.597792276158</v>
      </c>
      <c r="P149" s="300" t="s">
        <v>199</v>
      </c>
      <c r="Q149" s="204"/>
      <c r="R149" s="232">
        <f>O149-D149</f>
        <v>-20880.353242305471</v>
      </c>
    </row>
    <row r="150" spans="1:18">
      <c r="A150" s="293" t="s">
        <v>1029</v>
      </c>
      <c r="B150" s="289">
        <v>6232.99</v>
      </c>
      <c r="C150" s="294">
        <v>1.47</v>
      </c>
      <c r="D150" s="209">
        <f>O139</f>
        <v>994.31633396517975</v>
      </c>
      <c r="E150" s="289">
        <v>7.77</v>
      </c>
      <c r="F150" s="295"/>
      <c r="G150" s="289">
        <v>40000</v>
      </c>
      <c r="H150" s="294">
        <v>50000</v>
      </c>
      <c r="I150" s="289">
        <f>40203.6-88</f>
        <v>40115.599999999999</v>
      </c>
      <c r="J150" s="295"/>
      <c r="K150" s="289">
        <v>88</v>
      </c>
      <c r="L150" s="295"/>
      <c r="M150" s="291">
        <f>B150+E150+G150-I150-K150</f>
        <v>6037.1600000000035</v>
      </c>
      <c r="N150" s="292">
        <f>C150+H150</f>
        <v>50001.47</v>
      </c>
      <c r="O150" s="211">
        <f>M150/6.2689+N150</f>
        <v>50964.503387037599</v>
      </c>
      <c r="P150" s="301" t="s">
        <v>201</v>
      </c>
      <c r="Q150" s="204"/>
      <c r="R150" s="232">
        <f t="shared" ref="R150:R153" si="15">O150-D150</f>
        <v>49970.187053072419</v>
      </c>
    </row>
    <row r="151" spans="1:18">
      <c r="A151" s="286" t="s">
        <v>1030</v>
      </c>
      <c r="B151" s="287">
        <v>3871.24</v>
      </c>
      <c r="C151" s="288">
        <f>N140</f>
        <v>34986.720000000001</v>
      </c>
      <c r="D151" s="209">
        <f>O140</f>
        <v>35603.365693623666</v>
      </c>
      <c r="E151" s="289">
        <v>3.91</v>
      </c>
      <c r="F151" s="288">
        <v>4.57</v>
      </c>
      <c r="G151" s="290"/>
      <c r="H151" s="290"/>
      <c r="I151" s="290"/>
      <c r="J151" s="290"/>
      <c r="K151" s="290"/>
      <c r="L151" s="290"/>
      <c r="M151" s="291">
        <f>B151+E151</f>
        <v>3875.1499999999996</v>
      </c>
      <c r="N151" s="292">
        <f>C151+F151</f>
        <v>34991.29</v>
      </c>
      <c r="O151" s="211">
        <f>M151/6.2689+N151</f>
        <v>35609.444700186636</v>
      </c>
      <c r="P151" s="300" t="s">
        <v>199</v>
      </c>
      <c r="Q151" s="204"/>
      <c r="R151" s="232">
        <f t="shared" si="15"/>
        <v>6.0790065629698802</v>
      </c>
    </row>
    <row r="152" spans="1:18">
      <c r="A152" s="293" t="s">
        <v>1022</v>
      </c>
      <c r="B152" s="289">
        <v>0</v>
      </c>
      <c r="C152" s="294">
        <v>353505.94</v>
      </c>
      <c r="D152" s="209">
        <f>O141</f>
        <v>353505.94</v>
      </c>
      <c r="E152" s="295"/>
      <c r="F152" s="294">
        <v>17.16</v>
      </c>
      <c r="G152" s="295"/>
      <c r="H152" s="295"/>
      <c r="I152" s="295"/>
      <c r="J152" s="294">
        <v>8105</v>
      </c>
      <c r="K152" s="295"/>
      <c r="L152" s="294">
        <v>50000</v>
      </c>
      <c r="M152" s="291">
        <v>0</v>
      </c>
      <c r="N152" s="292">
        <f>C152+F152-J152-L152</f>
        <v>295418.09999999998</v>
      </c>
      <c r="O152" s="211">
        <f>N152</f>
        <v>295418.09999999998</v>
      </c>
      <c r="P152" s="301" t="s">
        <v>197</v>
      </c>
      <c r="Q152" s="204"/>
      <c r="R152" s="232">
        <f t="shared" si="15"/>
        <v>-58087.840000000026</v>
      </c>
    </row>
    <row r="153" spans="1:18">
      <c r="A153" s="296"/>
      <c r="B153" s="287">
        <f>SUM(B149,B150,B151,B152,)</f>
        <v>208523.22999999998</v>
      </c>
      <c r="C153" s="288">
        <f>SUM(C149:C152)</f>
        <v>388494.13</v>
      </c>
      <c r="D153" s="209">
        <f>O142</f>
        <v>421709.57306217047</v>
      </c>
      <c r="E153" s="290"/>
      <c r="F153" s="290"/>
      <c r="G153" s="290"/>
      <c r="H153" s="290"/>
      <c r="I153" s="290"/>
      <c r="J153" s="290"/>
      <c r="K153" s="290"/>
      <c r="L153" s="290"/>
      <c r="M153" s="291">
        <f>SUM(M149:M152)</f>
        <v>77150.010000000009</v>
      </c>
      <c r="N153" s="292">
        <f>SUM(N149:N152)</f>
        <v>380410.86</v>
      </c>
      <c r="O153" s="211">
        <f>SUM(O149:O152)</f>
        <v>392717.64587950037</v>
      </c>
      <c r="P153" s="300"/>
      <c r="Q153" s="204"/>
      <c r="R153" s="233">
        <f t="shared" si="15"/>
        <v>-28991.927182670101</v>
      </c>
    </row>
    <row r="154" spans="1:18">
      <c r="A154" s="297">
        <v>6.2689000000000004</v>
      </c>
      <c r="B154" s="302"/>
      <c r="C154" s="302"/>
      <c r="D154" s="302"/>
      <c r="E154" s="302"/>
      <c r="F154" s="302"/>
      <c r="G154" s="302"/>
      <c r="H154" s="302"/>
      <c r="I154" s="302"/>
      <c r="J154" s="302"/>
      <c r="K154" s="302"/>
      <c r="L154" s="302"/>
      <c r="M154" s="302"/>
      <c r="N154" s="302"/>
      <c r="O154" s="302"/>
      <c r="P154" s="303"/>
      <c r="Q154" s="204"/>
    </row>
    <row r="155" spans="1:18">
      <c r="A155" s="304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302"/>
      <c r="Q155" s="204"/>
    </row>
    <row r="156" spans="1:18">
      <c r="A156" s="305"/>
      <c r="B156" s="305"/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M156" s="305"/>
      <c r="N156" s="305"/>
      <c r="O156" s="305"/>
      <c r="P156" s="305"/>
      <c r="Q156" s="204"/>
    </row>
    <row r="157" spans="1:18">
      <c r="A157" s="200">
        <v>41365</v>
      </c>
      <c r="B157" s="561" t="s">
        <v>245</v>
      </c>
      <c r="C157" s="561"/>
      <c r="D157" s="561"/>
      <c r="E157" s="564" t="s">
        <v>1024</v>
      </c>
      <c r="F157" s="564"/>
      <c r="G157" s="564" t="s">
        <v>1025</v>
      </c>
      <c r="H157" s="564"/>
      <c r="I157" s="564" t="s">
        <v>1026</v>
      </c>
      <c r="J157" s="564"/>
      <c r="K157" s="564" t="s">
        <v>1027</v>
      </c>
      <c r="L157" s="564"/>
      <c r="M157" s="563" t="s">
        <v>1028</v>
      </c>
      <c r="N157" s="563"/>
      <c r="O157" s="563"/>
      <c r="P157" s="298" t="s">
        <v>194</v>
      </c>
      <c r="Q157" s="204"/>
      <c r="R157" s="234" t="s">
        <v>996</v>
      </c>
    </row>
    <row r="158" spans="1:18">
      <c r="A158" s="202" t="s">
        <v>195</v>
      </c>
      <c r="B158" s="285" t="s">
        <v>596</v>
      </c>
      <c r="C158" s="285" t="s">
        <v>597</v>
      </c>
      <c r="D158" s="202" t="s">
        <v>247</v>
      </c>
      <c r="E158" s="285" t="s">
        <v>596</v>
      </c>
      <c r="F158" s="285" t="s">
        <v>597</v>
      </c>
      <c r="G158" s="285" t="s">
        <v>596</v>
      </c>
      <c r="H158" s="285" t="s">
        <v>597</v>
      </c>
      <c r="I158" s="285" t="s">
        <v>596</v>
      </c>
      <c r="J158" s="285" t="s">
        <v>597</v>
      </c>
      <c r="K158" s="285" t="s">
        <v>596</v>
      </c>
      <c r="L158" s="285" t="s">
        <v>597</v>
      </c>
      <c r="M158" s="285" t="s">
        <v>596</v>
      </c>
      <c r="N158" s="285" t="s">
        <v>597</v>
      </c>
      <c r="O158" s="202" t="s">
        <v>247</v>
      </c>
      <c r="P158" s="299"/>
      <c r="Q158" s="204"/>
    </row>
    <row r="159" spans="1:18">
      <c r="A159" s="306" t="s">
        <v>1021</v>
      </c>
      <c r="B159" s="307">
        <f t="shared" ref="B159:D163" si="16">M149</f>
        <v>67237.700000000012</v>
      </c>
      <c r="C159" s="308">
        <f t="shared" si="16"/>
        <v>0</v>
      </c>
      <c r="D159" s="209">
        <f t="shared" si="16"/>
        <v>10725.597792276158</v>
      </c>
      <c r="E159" s="307"/>
      <c r="F159" s="309"/>
      <c r="G159" s="309"/>
      <c r="H159" s="309"/>
      <c r="I159" s="307">
        <v>3595.92</v>
      </c>
      <c r="J159" s="309"/>
      <c r="K159" s="307"/>
      <c r="L159" s="309"/>
      <c r="M159" s="307">
        <f>B159-K159+E159-I159</f>
        <v>63641.780000000013</v>
      </c>
      <c r="N159" s="308">
        <f>C159</f>
        <v>0</v>
      </c>
      <c r="O159" s="211">
        <f>M159/6.2439</f>
        <v>10192.632809622193</v>
      </c>
      <c r="P159" s="310" t="s">
        <v>199</v>
      </c>
      <c r="Q159" s="204"/>
      <c r="R159" s="232">
        <f>O159-D159</f>
        <v>-532.9649826539644</v>
      </c>
    </row>
    <row r="160" spans="1:18">
      <c r="A160" s="293" t="s">
        <v>1029</v>
      </c>
      <c r="B160" s="307">
        <f t="shared" si="16"/>
        <v>6037.1600000000035</v>
      </c>
      <c r="C160" s="308">
        <f t="shared" si="16"/>
        <v>50001.47</v>
      </c>
      <c r="D160" s="209">
        <f t="shared" si="16"/>
        <v>50964.503387037599</v>
      </c>
      <c r="E160" s="289"/>
      <c r="F160" s="295"/>
      <c r="G160" s="289">
        <v>309403.34000000003</v>
      </c>
      <c r="H160" s="288"/>
      <c r="I160" s="289">
        <v>26720.6</v>
      </c>
      <c r="J160" s="295"/>
      <c r="K160" s="289">
        <v>53500</v>
      </c>
      <c r="L160" s="294">
        <v>50000</v>
      </c>
      <c r="M160" s="289">
        <f>B160-K160+E160+G160-I160</f>
        <v>235219.90000000002</v>
      </c>
      <c r="N160" s="294">
        <f>C160+H160-L160</f>
        <v>1.4700000000011642</v>
      </c>
      <c r="O160" s="211">
        <f>M160/6.2439+N160</f>
        <v>37673.421824981189</v>
      </c>
      <c r="P160" s="301" t="s">
        <v>201</v>
      </c>
      <c r="Q160" s="204"/>
      <c r="R160" s="232">
        <f t="shared" ref="R160:R163" si="17">O160-D160</f>
        <v>-13291.08156205641</v>
      </c>
    </row>
    <row r="161" spans="1:18">
      <c r="A161" s="286" t="s">
        <v>1030</v>
      </c>
      <c r="B161" s="307">
        <f t="shared" si="16"/>
        <v>3875.1499999999996</v>
      </c>
      <c r="C161" s="308">
        <f t="shared" si="16"/>
        <v>34991.29</v>
      </c>
      <c r="D161" s="209">
        <f t="shared" si="16"/>
        <v>35609.444700186636</v>
      </c>
      <c r="E161" s="307"/>
      <c r="F161" s="308"/>
      <c r="G161" s="307"/>
      <c r="H161" s="309"/>
      <c r="I161" s="307"/>
      <c r="J161" s="309"/>
      <c r="K161" s="307"/>
      <c r="L161" s="309"/>
      <c r="M161" s="307">
        <f>B161+E161</f>
        <v>3875.1499999999996</v>
      </c>
      <c r="N161" s="308">
        <f>C161+F161</f>
        <v>34991.29</v>
      </c>
      <c r="O161" s="211">
        <f>M161/6.2439+N161</f>
        <v>35611.919734620991</v>
      </c>
      <c r="P161" s="310" t="s">
        <v>199</v>
      </c>
      <c r="Q161" s="204"/>
      <c r="R161" s="232">
        <f t="shared" si="17"/>
        <v>2.4750344343556208</v>
      </c>
    </row>
    <row r="162" spans="1:18">
      <c r="A162" s="293" t="s">
        <v>1022</v>
      </c>
      <c r="B162" s="307">
        <f t="shared" si="16"/>
        <v>0</v>
      </c>
      <c r="C162" s="308">
        <f t="shared" si="16"/>
        <v>295418.09999999998</v>
      </c>
      <c r="D162" s="209">
        <f t="shared" si="16"/>
        <v>295418.09999999998</v>
      </c>
      <c r="E162" s="295"/>
      <c r="F162" s="294"/>
      <c r="G162" s="289"/>
      <c r="H162" s="294"/>
      <c r="I162" s="295"/>
      <c r="J162" s="288">
        <v>10030.42</v>
      </c>
      <c r="K162" s="295"/>
      <c r="L162" s="288"/>
      <c r="M162" s="289">
        <v>0</v>
      </c>
      <c r="N162" s="294">
        <f>C162-J162-L162+F162</f>
        <v>285387.68</v>
      </c>
      <c r="O162" s="211">
        <f>N162</f>
        <v>285387.68</v>
      </c>
      <c r="P162" s="301" t="s">
        <v>197</v>
      </c>
      <c r="Q162" s="204"/>
      <c r="R162" s="232">
        <f t="shared" si="17"/>
        <v>-10030.419999999984</v>
      </c>
    </row>
    <row r="163" spans="1:18">
      <c r="A163" s="286" t="s">
        <v>1023</v>
      </c>
      <c r="B163" s="307">
        <f t="shared" si="16"/>
        <v>77150.010000000009</v>
      </c>
      <c r="C163" s="308">
        <f t="shared" si="16"/>
        <v>380410.86</v>
      </c>
      <c r="D163" s="211">
        <f t="shared" si="16"/>
        <v>392717.64587950037</v>
      </c>
      <c r="E163" s="290"/>
      <c r="F163" s="290"/>
      <c r="G163" s="290"/>
      <c r="H163" s="290"/>
      <c r="I163" s="290"/>
      <c r="J163" s="290"/>
      <c r="K163" s="290"/>
      <c r="L163" s="290"/>
      <c r="M163" s="287">
        <f>SUM(M159:M162)</f>
        <v>302736.83000000007</v>
      </c>
      <c r="N163" s="288">
        <f>SUM(N159:N162)</f>
        <v>320380.44</v>
      </c>
      <c r="O163" s="211">
        <f>SUM(O159:O162)</f>
        <v>368865.65436922433</v>
      </c>
      <c r="P163" s="300"/>
      <c r="Q163" s="204"/>
      <c r="R163" s="233">
        <f t="shared" si="17"/>
        <v>-23851.991510276042</v>
      </c>
    </row>
    <row r="164" spans="1:18">
      <c r="A164" s="297">
        <v>6.2439</v>
      </c>
      <c r="B164" s="311"/>
      <c r="C164" s="311"/>
      <c r="D164" s="311"/>
      <c r="E164" s="311"/>
      <c r="F164" s="311"/>
      <c r="G164" s="311"/>
      <c r="H164" s="311"/>
      <c r="I164" s="311"/>
      <c r="J164" s="311"/>
      <c r="K164" s="311"/>
      <c r="L164" s="311"/>
      <c r="M164" s="288"/>
      <c r="N164" s="311"/>
      <c r="O164" s="311"/>
      <c r="P164" s="311"/>
    </row>
    <row r="165" spans="1:18">
      <c r="A165" s="311"/>
      <c r="B165" s="311"/>
      <c r="C165" s="311"/>
      <c r="D165" s="311"/>
      <c r="E165" s="311"/>
      <c r="F165" s="311"/>
      <c r="G165" s="311"/>
      <c r="H165" s="311"/>
      <c r="I165" s="311"/>
      <c r="J165" s="311"/>
      <c r="K165" s="311"/>
      <c r="L165" s="311"/>
      <c r="M165" s="311"/>
      <c r="N165" s="311"/>
      <c r="O165" s="311"/>
      <c r="P165" s="311"/>
    </row>
    <row r="166" spans="1:18">
      <c r="A166" s="311"/>
      <c r="B166" s="311"/>
      <c r="C166" s="311"/>
      <c r="D166" s="311"/>
      <c r="E166" s="311"/>
      <c r="F166" s="311"/>
      <c r="G166" s="311"/>
      <c r="H166" s="311"/>
      <c r="I166" s="311"/>
      <c r="J166" s="311"/>
      <c r="K166" s="311"/>
      <c r="L166" s="311"/>
      <c r="M166" s="311"/>
      <c r="N166" s="311"/>
      <c r="O166" s="311"/>
      <c r="P166" s="311"/>
    </row>
    <row r="167" spans="1:18">
      <c r="A167" s="200">
        <v>41395</v>
      </c>
      <c r="B167" s="561" t="s">
        <v>245</v>
      </c>
      <c r="C167" s="561"/>
      <c r="D167" s="561"/>
      <c r="E167" s="564" t="s">
        <v>1024</v>
      </c>
      <c r="F167" s="564"/>
      <c r="G167" s="564" t="s">
        <v>1025</v>
      </c>
      <c r="H167" s="564"/>
      <c r="I167" s="564" t="s">
        <v>1026</v>
      </c>
      <c r="J167" s="564"/>
      <c r="K167" s="564" t="s">
        <v>1027</v>
      </c>
      <c r="L167" s="564"/>
      <c r="M167" s="563" t="s">
        <v>1028</v>
      </c>
      <c r="N167" s="563"/>
      <c r="O167" s="563"/>
      <c r="P167" s="298" t="s">
        <v>194</v>
      </c>
      <c r="R167" s="234" t="s">
        <v>996</v>
      </c>
    </row>
    <row r="168" spans="1:18">
      <c r="A168" s="202" t="s">
        <v>195</v>
      </c>
      <c r="B168" s="285" t="s">
        <v>596</v>
      </c>
      <c r="C168" s="285" t="s">
        <v>597</v>
      </c>
      <c r="D168" s="202" t="s">
        <v>247</v>
      </c>
      <c r="E168" s="285" t="s">
        <v>596</v>
      </c>
      <c r="F168" s="285" t="s">
        <v>597</v>
      </c>
      <c r="G168" s="285" t="s">
        <v>596</v>
      </c>
      <c r="H168" s="285" t="s">
        <v>597</v>
      </c>
      <c r="I168" s="285" t="s">
        <v>596</v>
      </c>
      <c r="J168" s="285" t="s">
        <v>597</v>
      </c>
      <c r="K168" s="285" t="s">
        <v>596</v>
      </c>
      <c r="L168" s="285" t="s">
        <v>597</v>
      </c>
      <c r="M168" s="285" t="s">
        <v>596</v>
      </c>
      <c r="N168" s="285" t="s">
        <v>597</v>
      </c>
      <c r="O168" s="202" t="s">
        <v>247</v>
      </c>
      <c r="P168" s="299"/>
    </row>
    <row r="169" spans="1:18">
      <c r="A169" s="306" t="s">
        <v>1021</v>
      </c>
      <c r="B169" s="307">
        <f t="shared" ref="B169:D173" si="18">M159</f>
        <v>63641.780000000013</v>
      </c>
      <c r="C169" s="308">
        <f t="shared" si="18"/>
        <v>0</v>
      </c>
      <c r="D169" s="211">
        <f t="shared" si="18"/>
        <v>10192.632809622193</v>
      </c>
      <c r="E169" s="307"/>
      <c r="F169" s="309"/>
      <c r="G169" s="309"/>
      <c r="H169" s="309"/>
      <c r="I169" s="307">
        <v>6424.89</v>
      </c>
      <c r="J169" s="288"/>
      <c r="K169" s="307"/>
      <c r="L169" s="309"/>
      <c r="M169" s="307">
        <f>B169-K169+E169-I169</f>
        <v>57216.890000000014</v>
      </c>
      <c r="N169" s="308">
        <f>C169-J169</f>
        <v>0</v>
      </c>
      <c r="O169" s="211">
        <f>M169/6.1186</f>
        <v>9351.3042199195916</v>
      </c>
      <c r="P169" s="310" t="s">
        <v>199</v>
      </c>
      <c r="R169" s="232">
        <f>O169-D169</f>
        <v>-841.32858970260168</v>
      </c>
    </row>
    <row r="170" spans="1:18">
      <c r="A170" s="293" t="s">
        <v>1029</v>
      </c>
      <c r="B170" s="307">
        <f t="shared" si="18"/>
        <v>235219.90000000002</v>
      </c>
      <c r="C170" s="308">
        <f t="shared" si="18"/>
        <v>1.4700000000011642</v>
      </c>
      <c r="D170" s="211">
        <f t="shared" si="18"/>
        <v>37673.421824981189</v>
      </c>
      <c r="E170" s="289"/>
      <c r="F170" s="295"/>
      <c r="G170" s="289"/>
      <c r="H170" s="288"/>
      <c r="I170" s="289">
        <v>12908</v>
      </c>
      <c r="J170" s="288"/>
      <c r="K170" s="289">
        <v>63086.5</v>
      </c>
      <c r="L170" s="288"/>
      <c r="M170" s="289">
        <f>B170-K170+E170+G170-I170</f>
        <v>159225.40000000002</v>
      </c>
      <c r="N170" s="294">
        <f>C170+H170-L170-J170</f>
        <v>1.4700000000011642</v>
      </c>
      <c r="O170" s="211">
        <f>M170/6.1186+N170</f>
        <v>26024.645236165143</v>
      </c>
      <c r="P170" s="301" t="s">
        <v>201</v>
      </c>
      <c r="R170" s="232">
        <f t="shared" ref="R170:R173" si="19">O170-D170</f>
        <v>-11648.776588816047</v>
      </c>
    </row>
    <row r="171" spans="1:18">
      <c r="A171" s="286" t="s">
        <v>1030</v>
      </c>
      <c r="B171" s="307">
        <f t="shared" si="18"/>
        <v>3875.1499999999996</v>
      </c>
      <c r="C171" s="308">
        <f t="shared" si="18"/>
        <v>34991.29</v>
      </c>
      <c r="D171" s="211">
        <f t="shared" si="18"/>
        <v>35611.919734620991</v>
      </c>
      <c r="E171" s="307"/>
      <c r="F171" s="308"/>
      <c r="G171" s="311"/>
      <c r="H171" s="309"/>
      <c r="I171" s="307"/>
      <c r="J171" s="309"/>
      <c r="K171" s="307"/>
      <c r="L171" s="309"/>
      <c r="M171" s="307">
        <f>B171+E171</f>
        <v>3875.1499999999996</v>
      </c>
      <c r="N171" s="308">
        <f>C171+F171</f>
        <v>34991.29</v>
      </c>
      <c r="O171" s="211">
        <f>M171/6.1186+N171</f>
        <v>35624.629325989605</v>
      </c>
      <c r="P171" s="310" t="s">
        <v>199</v>
      </c>
      <c r="R171" s="232">
        <f t="shared" si="19"/>
        <v>12.709591368613474</v>
      </c>
    </row>
    <row r="172" spans="1:18">
      <c r="A172" s="293" t="s">
        <v>1022</v>
      </c>
      <c r="B172" s="307">
        <f t="shared" si="18"/>
        <v>0</v>
      </c>
      <c r="C172" s="308">
        <f t="shared" si="18"/>
        <v>285387.68</v>
      </c>
      <c r="D172" s="211">
        <f t="shared" si="18"/>
        <v>285387.68</v>
      </c>
      <c r="E172" s="295"/>
      <c r="F172" s="294"/>
      <c r="G172" s="289"/>
      <c r="H172" s="294"/>
      <c r="I172" s="295"/>
      <c r="J172" s="288">
        <v>495</v>
      </c>
      <c r="K172" s="295"/>
      <c r="L172" s="288"/>
      <c r="M172" s="289">
        <v>0</v>
      </c>
      <c r="N172" s="294">
        <f>C172-J172-L172+F172</f>
        <v>284892.68</v>
      </c>
      <c r="O172" s="211">
        <f>N172</f>
        <v>284892.68</v>
      </c>
      <c r="P172" s="301" t="s">
        <v>197</v>
      </c>
      <c r="R172" s="232">
        <f t="shared" si="19"/>
        <v>-495</v>
      </c>
    </row>
    <row r="173" spans="1:18">
      <c r="A173" s="286" t="s">
        <v>1023</v>
      </c>
      <c r="B173" s="307">
        <f t="shared" si="18"/>
        <v>302736.83000000007</v>
      </c>
      <c r="C173" s="308">
        <f t="shared" si="18"/>
        <v>320380.44</v>
      </c>
      <c r="D173" s="211">
        <f t="shared" si="18"/>
        <v>368865.65436922433</v>
      </c>
      <c r="E173" s="290"/>
      <c r="F173" s="290"/>
      <c r="G173" s="290"/>
      <c r="H173" s="290"/>
      <c r="I173" s="290"/>
      <c r="J173" s="290"/>
      <c r="K173" s="290"/>
      <c r="L173" s="290"/>
      <c r="M173" s="287">
        <f>SUM(M169:M172)</f>
        <v>220317.44000000003</v>
      </c>
      <c r="N173" s="288">
        <f>SUM(N169:N172)</f>
        <v>319885.44</v>
      </c>
      <c r="O173" s="211">
        <f>SUM(O169:O172)</f>
        <v>355893.25878207432</v>
      </c>
      <c r="P173" s="300"/>
      <c r="R173" s="233">
        <f t="shared" si="19"/>
        <v>-12972.395587150007</v>
      </c>
    </row>
    <row r="174" spans="1:18">
      <c r="A174" s="297">
        <v>6.1185999999999998</v>
      </c>
      <c r="B174" s="311"/>
      <c r="C174" s="311"/>
      <c r="D174" s="311"/>
      <c r="E174" s="311"/>
      <c r="F174" s="311"/>
      <c r="G174" s="311"/>
      <c r="H174" s="311"/>
      <c r="I174" s="311"/>
      <c r="J174" s="311"/>
      <c r="K174" s="311"/>
      <c r="L174" s="311"/>
      <c r="M174" s="311"/>
      <c r="N174" s="311"/>
      <c r="O174" s="311"/>
      <c r="P174" s="311"/>
    </row>
    <row r="175" spans="1:18">
      <c r="A175" s="311"/>
      <c r="B175" s="311"/>
      <c r="C175" s="311"/>
      <c r="D175" s="311"/>
      <c r="E175" s="311"/>
      <c r="F175" s="311"/>
      <c r="G175" s="311"/>
      <c r="H175" s="311"/>
      <c r="I175" s="311"/>
      <c r="J175" s="311"/>
      <c r="K175" s="311"/>
      <c r="L175" s="311"/>
      <c r="M175" s="311"/>
      <c r="N175" s="311"/>
      <c r="O175" s="311"/>
      <c r="P175" s="311"/>
    </row>
    <row r="176" spans="1:18">
      <c r="A176" s="313"/>
      <c r="B176" s="311"/>
      <c r="C176" s="311"/>
      <c r="D176" s="311"/>
      <c r="E176" s="311"/>
      <c r="F176" s="311"/>
      <c r="G176" s="311"/>
      <c r="H176" s="311"/>
      <c r="I176" s="311"/>
      <c r="J176" s="311"/>
      <c r="K176" s="311"/>
      <c r="L176" s="311"/>
      <c r="M176" s="311"/>
      <c r="N176" s="311"/>
      <c r="O176" s="311"/>
      <c r="P176" s="311"/>
    </row>
    <row r="177" spans="1:18">
      <c r="A177" s="200">
        <v>41426</v>
      </c>
      <c r="B177" s="561" t="s">
        <v>245</v>
      </c>
      <c r="C177" s="561"/>
      <c r="D177" s="561"/>
      <c r="E177" s="564" t="s">
        <v>1024</v>
      </c>
      <c r="F177" s="564"/>
      <c r="G177" s="564" t="s">
        <v>1025</v>
      </c>
      <c r="H177" s="564"/>
      <c r="I177" s="564" t="s">
        <v>1026</v>
      </c>
      <c r="J177" s="564"/>
      <c r="K177" s="564" t="s">
        <v>1027</v>
      </c>
      <c r="L177" s="564"/>
      <c r="M177" s="563" t="s">
        <v>1028</v>
      </c>
      <c r="N177" s="563"/>
      <c r="O177" s="563"/>
      <c r="P177" s="298" t="s">
        <v>194</v>
      </c>
      <c r="R177" s="234" t="s">
        <v>996</v>
      </c>
    </row>
    <row r="178" spans="1:18">
      <c r="A178" s="202" t="s">
        <v>195</v>
      </c>
      <c r="B178" s="285" t="s">
        <v>596</v>
      </c>
      <c r="C178" s="285" t="s">
        <v>597</v>
      </c>
      <c r="D178" s="202" t="s">
        <v>247</v>
      </c>
      <c r="E178" s="285" t="s">
        <v>596</v>
      </c>
      <c r="F178" s="285" t="s">
        <v>597</v>
      </c>
      <c r="G178" s="285" t="s">
        <v>596</v>
      </c>
      <c r="H178" s="285" t="s">
        <v>597</v>
      </c>
      <c r="I178" s="285" t="s">
        <v>596</v>
      </c>
      <c r="J178" s="285" t="s">
        <v>597</v>
      </c>
      <c r="K178" s="285" t="s">
        <v>596</v>
      </c>
      <c r="L178" s="285" t="s">
        <v>597</v>
      </c>
      <c r="M178" s="285" t="s">
        <v>596</v>
      </c>
      <c r="N178" s="285" t="s">
        <v>597</v>
      </c>
      <c r="O178" s="202" t="s">
        <v>247</v>
      </c>
      <c r="P178" s="299"/>
    </row>
    <row r="179" spans="1:18">
      <c r="A179" s="306" t="s">
        <v>1021</v>
      </c>
      <c r="B179" s="307">
        <f t="shared" ref="B179:D183" si="20">M169</f>
        <v>57216.890000000014</v>
      </c>
      <c r="C179" s="308">
        <f t="shared" si="20"/>
        <v>0</v>
      </c>
      <c r="D179" s="211">
        <f t="shared" si="20"/>
        <v>9351.3042199195916</v>
      </c>
      <c r="E179" s="307">
        <v>60.3</v>
      </c>
      <c r="F179" s="308"/>
      <c r="G179" s="307">
        <v>100000</v>
      </c>
      <c r="H179" s="309"/>
      <c r="I179" s="307">
        <v>5560.48</v>
      </c>
      <c r="J179" s="309"/>
      <c r="K179" s="307"/>
      <c r="L179" s="309"/>
      <c r="M179" s="307">
        <f>B179-K179+E179-I179+G179</f>
        <v>151716.71000000002</v>
      </c>
      <c r="N179" s="308">
        <v>0</v>
      </c>
      <c r="O179" s="211">
        <f>M179/6.0525</f>
        <v>25066.783973564645</v>
      </c>
      <c r="P179" s="310" t="s">
        <v>199</v>
      </c>
      <c r="R179" s="232">
        <f>O179-D179</f>
        <v>15715.479753645053</v>
      </c>
    </row>
    <row r="180" spans="1:18">
      <c r="A180" s="293" t="s">
        <v>1029</v>
      </c>
      <c r="B180" s="307">
        <f t="shared" si="20"/>
        <v>159225.40000000002</v>
      </c>
      <c r="C180" s="308">
        <f t="shared" si="20"/>
        <v>1.4700000000011642</v>
      </c>
      <c r="D180" s="211">
        <f t="shared" si="20"/>
        <v>26024.645236165143</v>
      </c>
      <c r="E180" s="289">
        <v>138.32</v>
      </c>
      <c r="F180" s="308"/>
      <c r="G180" s="289"/>
      <c r="H180" s="288"/>
      <c r="I180" s="289">
        <v>97873.8</v>
      </c>
      <c r="J180" s="309"/>
      <c r="K180" s="289">
        <v>20000</v>
      </c>
      <c r="L180" s="308"/>
      <c r="M180" s="289">
        <f>B180-K180+E180+G180-I180</f>
        <v>41489.920000000027</v>
      </c>
      <c r="N180" s="294">
        <f>C180+H180-L180+F180-J180</f>
        <v>1.4700000000011642</v>
      </c>
      <c r="O180" s="211">
        <f>M180/6.0525+N180</f>
        <v>6856.4753696819553</v>
      </c>
      <c r="P180" s="301" t="s">
        <v>201</v>
      </c>
      <c r="R180" s="232">
        <f t="shared" ref="R180:R183" si="21">O180-D180</f>
        <v>-19168.169866483186</v>
      </c>
    </row>
    <row r="181" spans="1:18">
      <c r="A181" s="286" t="s">
        <v>1030</v>
      </c>
      <c r="B181" s="307">
        <f t="shared" si="20"/>
        <v>3875.1499999999996</v>
      </c>
      <c r="C181" s="308">
        <f t="shared" si="20"/>
        <v>34991.29</v>
      </c>
      <c r="D181" s="211">
        <f t="shared" si="20"/>
        <v>35624.629325989605</v>
      </c>
      <c r="E181" s="307">
        <v>23.4</v>
      </c>
      <c r="F181" s="308">
        <v>3.6</v>
      </c>
      <c r="G181" s="307">
        <v>213925.77</v>
      </c>
      <c r="H181" s="309"/>
      <c r="I181" s="307"/>
      <c r="J181" s="309"/>
      <c r="K181" s="307">
        <v>100000</v>
      </c>
      <c r="L181" s="308">
        <v>34991.29</v>
      </c>
      <c r="M181" s="307">
        <f>B181+E181+G181-K181</f>
        <v>117824.31999999998</v>
      </c>
      <c r="N181" s="308">
        <f>C181-L181+F181</f>
        <v>3.6</v>
      </c>
      <c r="O181" s="211">
        <f>M181/6.0525+N181</f>
        <v>19470.64997934737</v>
      </c>
      <c r="P181" s="310" t="s">
        <v>199</v>
      </c>
      <c r="R181" s="232">
        <f t="shared" si="21"/>
        <v>-16153.979346642234</v>
      </c>
    </row>
    <row r="182" spans="1:18">
      <c r="A182" s="293" t="s">
        <v>1022</v>
      </c>
      <c r="B182" s="307">
        <f t="shared" si="20"/>
        <v>0</v>
      </c>
      <c r="C182" s="308">
        <f t="shared" si="20"/>
        <v>284892.68</v>
      </c>
      <c r="D182" s="211">
        <f t="shared" si="20"/>
        <v>284892.68</v>
      </c>
      <c r="E182" s="295"/>
      <c r="F182" s="294"/>
      <c r="G182" s="289"/>
      <c r="H182" s="294"/>
      <c r="I182" s="295"/>
      <c r="J182" s="288">
        <v>200</v>
      </c>
      <c r="K182" s="295"/>
      <c r="L182" s="288"/>
      <c r="M182" s="289">
        <v>0</v>
      </c>
      <c r="N182" s="294">
        <f>C182-J182-L182+F182</f>
        <v>284692.68</v>
      </c>
      <c r="O182" s="211">
        <f>N182</f>
        <v>284692.68</v>
      </c>
      <c r="P182" s="301" t="s">
        <v>197</v>
      </c>
      <c r="R182" s="232">
        <f t="shared" si="21"/>
        <v>-200</v>
      </c>
    </row>
    <row r="183" spans="1:18">
      <c r="A183" s="286" t="s">
        <v>1023</v>
      </c>
      <c r="B183" s="307">
        <f t="shared" si="20"/>
        <v>220317.44000000003</v>
      </c>
      <c r="C183" s="308">
        <f t="shared" si="20"/>
        <v>319885.44</v>
      </c>
      <c r="D183" s="211">
        <f t="shared" si="20"/>
        <v>355893.25878207432</v>
      </c>
      <c r="E183" s="290"/>
      <c r="F183" s="290"/>
      <c r="G183" s="290"/>
      <c r="H183" s="290"/>
      <c r="I183" s="290"/>
      <c r="J183" s="290"/>
      <c r="K183" s="290"/>
      <c r="L183" s="290"/>
      <c r="M183" s="287">
        <f>SUM(M179:M182)</f>
        <v>311030.95000000007</v>
      </c>
      <c r="N183" s="288">
        <f>SUM(N179:N182)</f>
        <v>284697.75</v>
      </c>
      <c r="O183" s="211">
        <f>SUM(O179:O182)</f>
        <v>336086.58932259399</v>
      </c>
      <c r="P183" s="300"/>
      <c r="R183" s="233">
        <f t="shared" si="21"/>
        <v>-19806.669459480327</v>
      </c>
    </row>
    <row r="184" spans="1:18">
      <c r="A184" s="297">
        <v>6.0525000000000002</v>
      </c>
      <c r="B184" s="311"/>
      <c r="C184" s="311"/>
      <c r="D184" s="311"/>
      <c r="E184" s="311"/>
      <c r="F184" s="311"/>
      <c r="G184" s="311"/>
      <c r="H184" s="311"/>
      <c r="I184" s="311"/>
      <c r="J184" s="311"/>
      <c r="K184" s="311"/>
      <c r="L184" s="311"/>
      <c r="M184" s="311"/>
      <c r="N184" s="311"/>
      <c r="O184" s="311"/>
      <c r="P184" s="311"/>
    </row>
    <row r="185" spans="1:18">
      <c r="A185" s="311"/>
      <c r="B185" s="311"/>
      <c r="C185" s="311"/>
      <c r="D185" s="311"/>
      <c r="E185" s="311"/>
      <c r="F185" s="311"/>
      <c r="G185" s="311"/>
      <c r="H185" s="311"/>
      <c r="I185" s="311"/>
      <c r="J185" s="311"/>
      <c r="K185" s="311"/>
      <c r="L185" s="311"/>
      <c r="M185" s="311"/>
      <c r="N185" s="311"/>
      <c r="O185" s="311"/>
      <c r="P185" s="311"/>
    </row>
    <row r="186" spans="1:18">
      <c r="A186" s="311"/>
      <c r="B186" s="311"/>
      <c r="C186" s="311"/>
      <c r="D186" s="311"/>
      <c r="E186" s="311"/>
      <c r="F186" s="311"/>
      <c r="G186" s="311"/>
      <c r="H186" s="311"/>
      <c r="I186" s="311"/>
      <c r="J186" s="311"/>
      <c r="K186" s="311"/>
      <c r="L186" s="311"/>
      <c r="M186" s="311"/>
      <c r="N186" s="311"/>
      <c r="O186" s="311"/>
      <c r="P186" s="311"/>
    </row>
    <row r="187" spans="1:18">
      <c r="A187" s="200">
        <v>41456</v>
      </c>
      <c r="B187" s="561" t="s">
        <v>245</v>
      </c>
      <c r="C187" s="561"/>
      <c r="D187" s="561"/>
      <c r="E187" s="564" t="s">
        <v>1024</v>
      </c>
      <c r="F187" s="564"/>
      <c r="G187" s="564" t="s">
        <v>1025</v>
      </c>
      <c r="H187" s="564"/>
      <c r="I187" s="564" t="s">
        <v>1026</v>
      </c>
      <c r="J187" s="564"/>
      <c r="K187" s="564" t="s">
        <v>1027</v>
      </c>
      <c r="L187" s="564"/>
      <c r="M187" s="563" t="s">
        <v>1028</v>
      </c>
      <c r="N187" s="563"/>
      <c r="O187" s="563"/>
      <c r="P187" s="298" t="s">
        <v>194</v>
      </c>
      <c r="R187" s="234" t="s">
        <v>996</v>
      </c>
    </row>
    <row r="188" spans="1:18">
      <c r="A188" s="202" t="s">
        <v>195</v>
      </c>
      <c r="B188" s="285" t="s">
        <v>596</v>
      </c>
      <c r="C188" s="285" t="s">
        <v>597</v>
      </c>
      <c r="D188" s="202" t="s">
        <v>247</v>
      </c>
      <c r="E188" s="285" t="s">
        <v>596</v>
      </c>
      <c r="F188" s="285" t="s">
        <v>597</v>
      </c>
      <c r="G188" s="285" t="s">
        <v>596</v>
      </c>
      <c r="H188" s="285" t="s">
        <v>597</v>
      </c>
      <c r="I188" s="285" t="s">
        <v>596</v>
      </c>
      <c r="J188" s="285" t="s">
        <v>597</v>
      </c>
      <c r="K188" s="285" t="s">
        <v>596</v>
      </c>
      <c r="L188" s="285" t="s">
        <v>597</v>
      </c>
      <c r="M188" s="285" t="s">
        <v>596</v>
      </c>
      <c r="N188" s="285" t="s">
        <v>597</v>
      </c>
      <c r="O188" s="202" t="s">
        <v>247</v>
      </c>
      <c r="P188" s="299"/>
    </row>
    <row r="189" spans="1:18">
      <c r="A189" s="306" t="s">
        <v>1021</v>
      </c>
      <c r="B189" s="307">
        <f t="shared" ref="B189:D193" si="22">M179</f>
        <v>151716.71000000002</v>
      </c>
      <c r="C189" s="308">
        <f t="shared" si="22"/>
        <v>0</v>
      </c>
      <c r="D189" s="211">
        <f t="shared" si="22"/>
        <v>25066.783973564645</v>
      </c>
      <c r="E189" s="307"/>
      <c r="F189" s="309"/>
      <c r="G189" s="307"/>
      <c r="H189" s="309"/>
      <c r="I189" s="307">
        <v>4590.16</v>
      </c>
      <c r="J189" s="309"/>
      <c r="K189" s="307"/>
      <c r="L189" s="309"/>
      <c r="M189" s="307">
        <f>B189-K189+E189-I189+G189</f>
        <v>147126.55000000002</v>
      </c>
      <c r="N189" s="308">
        <f>C189+F189+H189-J189-L189</f>
        <v>0</v>
      </c>
      <c r="O189" s="211">
        <f>M189/6.0506</f>
        <v>24316.026509767627</v>
      </c>
      <c r="P189" s="310" t="s">
        <v>199</v>
      </c>
      <c r="R189" s="232">
        <f>O189-D189</f>
        <v>-750.75746379701741</v>
      </c>
    </row>
    <row r="190" spans="1:18">
      <c r="A190" s="293" t="s">
        <v>1029</v>
      </c>
      <c r="B190" s="307">
        <f t="shared" si="22"/>
        <v>41489.920000000027</v>
      </c>
      <c r="C190" s="308">
        <f t="shared" si="22"/>
        <v>1.4700000000011642</v>
      </c>
      <c r="D190" s="211">
        <f t="shared" si="22"/>
        <v>6856.4753696819553</v>
      </c>
      <c r="E190" s="289"/>
      <c r="F190" s="309"/>
      <c r="G190" s="289"/>
      <c r="H190" s="288"/>
      <c r="I190" s="289">
        <v>21204.55</v>
      </c>
      <c r="J190" s="309"/>
      <c r="K190" s="289">
        <v>20000</v>
      </c>
      <c r="L190" s="309"/>
      <c r="M190" s="289">
        <f>B190-K190+E190+G190-I190</f>
        <v>285.37000000002809</v>
      </c>
      <c r="N190" s="294">
        <f>C190+H190-L190+F190-J190</f>
        <v>1.4700000000011642</v>
      </c>
      <c r="O190" s="211">
        <f>M190/6.0506+N190</f>
        <v>48.633917628009641</v>
      </c>
      <c r="P190" s="301" t="s">
        <v>201</v>
      </c>
      <c r="R190" s="232">
        <f t="shared" ref="R190:R193" si="23">O190-D190</f>
        <v>-6807.8414520539454</v>
      </c>
    </row>
    <row r="191" spans="1:18">
      <c r="A191" s="286" t="s">
        <v>1030</v>
      </c>
      <c r="B191" s="307">
        <f t="shared" si="22"/>
        <v>117824.31999999998</v>
      </c>
      <c r="C191" s="308">
        <f t="shared" si="22"/>
        <v>3.6</v>
      </c>
      <c r="D191" s="211">
        <f t="shared" si="22"/>
        <v>19470.64997934737</v>
      </c>
      <c r="E191" s="307"/>
      <c r="F191" s="308"/>
      <c r="G191" s="307"/>
      <c r="H191" s="309"/>
      <c r="I191" s="311"/>
      <c r="J191" s="309"/>
      <c r="K191" s="307">
        <v>20000</v>
      </c>
      <c r="L191" s="309"/>
      <c r="M191" s="307">
        <f>B191+E191+G191-K191</f>
        <v>97824.319999999978</v>
      </c>
      <c r="N191" s="308">
        <f>C191-L191</f>
        <v>3.6</v>
      </c>
      <c r="O191" s="211">
        <f>M191/6.0506+N191</f>
        <v>16171.305682081113</v>
      </c>
      <c r="P191" s="310" t="s">
        <v>199</v>
      </c>
      <c r="R191" s="232">
        <f t="shared" si="23"/>
        <v>-3299.3442972662579</v>
      </c>
    </row>
    <row r="192" spans="1:18">
      <c r="A192" s="293" t="s">
        <v>1022</v>
      </c>
      <c r="B192" s="307">
        <f t="shared" si="22"/>
        <v>0</v>
      </c>
      <c r="C192" s="308">
        <f t="shared" si="22"/>
        <v>284692.68</v>
      </c>
      <c r="D192" s="211">
        <f t="shared" si="22"/>
        <v>284692.68</v>
      </c>
      <c r="E192" s="295"/>
      <c r="F192" s="294"/>
      <c r="G192" s="289"/>
      <c r="H192" s="294"/>
      <c r="I192" s="295"/>
      <c r="J192" s="288">
        <v>200</v>
      </c>
      <c r="K192" s="295"/>
      <c r="L192" s="288"/>
      <c r="M192" s="289">
        <v>0</v>
      </c>
      <c r="N192" s="294">
        <f>C192-J192-L192+F192</f>
        <v>284492.68</v>
      </c>
      <c r="O192" s="211">
        <f>N192</f>
        <v>284492.68</v>
      </c>
      <c r="P192" s="301" t="s">
        <v>197</v>
      </c>
      <c r="R192" s="232">
        <f t="shared" si="23"/>
        <v>-200</v>
      </c>
    </row>
    <row r="193" spans="1:18">
      <c r="A193" s="286" t="s">
        <v>1023</v>
      </c>
      <c r="B193" s="307">
        <f t="shared" si="22"/>
        <v>311030.95000000007</v>
      </c>
      <c r="C193" s="308">
        <f t="shared" si="22"/>
        <v>284697.75</v>
      </c>
      <c r="D193" s="211">
        <f t="shared" si="22"/>
        <v>336086.58932259399</v>
      </c>
      <c r="E193" s="290"/>
      <c r="F193" s="290"/>
      <c r="G193" s="290"/>
      <c r="H193" s="290"/>
      <c r="I193" s="290"/>
      <c r="J193" s="290"/>
      <c r="K193" s="290"/>
      <c r="L193" s="290"/>
      <c r="M193" s="287">
        <f>SUM(M189:M192)</f>
        <v>245236.24000000002</v>
      </c>
      <c r="N193" s="288">
        <f>SUM(N189:N192)</f>
        <v>284497.75</v>
      </c>
      <c r="O193" s="211">
        <f>SUM(O189:O192)</f>
        <v>325028.64610947674</v>
      </c>
      <c r="P193" s="300"/>
      <c r="R193" s="233">
        <f t="shared" si="23"/>
        <v>-11057.943213117251</v>
      </c>
    </row>
    <row r="194" spans="1:18">
      <c r="A194" s="297">
        <v>6.0506000000000002</v>
      </c>
      <c r="B194" s="311"/>
      <c r="C194" s="311"/>
      <c r="D194" s="311"/>
      <c r="E194" s="311"/>
      <c r="F194" s="311"/>
      <c r="G194" s="311"/>
      <c r="H194" s="311"/>
      <c r="I194" s="311"/>
      <c r="J194" s="311"/>
      <c r="K194" s="311"/>
      <c r="L194" s="311"/>
      <c r="M194" s="311"/>
      <c r="N194" s="311"/>
      <c r="O194" s="311"/>
      <c r="P194" s="311"/>
    </row>
    <row r="195" spans="1:18">
      <c r="A195" s="311"/>
      <c r="B195" s="311"/>
      <c r="C195" s="311"/>
      <c r="D195" s="311"/>
      <c r="E195" s="311"/>
      <c r="F195" s="311"/>
      <c r="G195" s="311"/>
      <c r="H195" s="311"/>
      <c r="I195" s="311"/>
      <c r="J195" s="311"/>
      <c r="K195" s="311"/>
      <c r="L195" s="311"/>
      <c r="M195" s="311"/>
      <c r="N195" s="311"/>
      <c r="O195" s="311"/>
      <c r="P195" s="311"/>
    </row>
    <row r="196" spans="1:18">
      <c r="A196" s="311"/>
      <c r="B196" s="311"/>
      <c r="C196" s="311"/>
      <c r="D196" s="311"/>
      <c r="E196" s="311"/>
      <c r="F196" s="311"/>
      <c r="G196" s="311"/>
      <c r="H196" s="311"/>
      <c r="I196" s="311"/>
      <c r="J196" s="311"/>
      <c r="K196" s="311"/>
      <c r="L196" s="311"/>
      <c r="M196" s="311"/>
      <c r="N196" s="311"/>
      <c r="O196" s="311"/>
      <c r="P196" s="311"/>
    </row>
    <row r="197" spans="1:18">
      <c r="A197" s="200">
        <v>41487</v>
      </c>
      <c r="B197" s="561" t="s">
        <v>245</v>
      </c>
      <c r="C197" s="561"/>
      <c r="D197" s="561"/>
      <c r="E197" s="564" t="s">
        <v>1024</v>
      </c>
      <c r="F197" s="564"/>
      <c r="G197" s="564" t="s">
        <v>1025</v>
      </c>
      <c r="H197" s="564"/>
      <c r="I197" s="564" t="s">
        <v>1026</v>
      </c>
      <c r="J197" s="564"/>
      <c r="K197" s="564" t="s">
        <v>1027</v>
      </c>
      <c r="L197" s="564"/>
      <c r="M197" s="563" t="s">
        <v>1028</v>
      </c>
      <c r="N197" s="563"/>
      <c r="O197" s="563"/>
      <c r="P197" s="298" t="s">
        <v>194</v>
      </c>
      <c r="R197" s="234" t="s">
        <v>996</v>
      </c>
    </row>
    <row r="198" spans="1:18">
      <c r="A198" s="202" t="s">
        <v>195</v>
      </c>
      <c r="B198" s="285" t="s">
        <v>596</v>
      </c>
      <c r="C198" s="285" t="s">
        <v>597</v>
      </c>
      <c r="D198" s="202" t="s">
        <v>247</v>
      </c>
      <c r="E198" s="285" t="s">
        <v>596</v>
      </c>
      <c r="F198" s="285" t="s">
        <v>597</v>
      </c>
      <c r="G198" s="285" t="s">
        <v>596</v>
      </c>
      <c r="H198" s="285" t="s">
        <v>597</v>
      </c>
      <c r="I198" s="285" t="s">
        <v>596</v>
      </c>
      <c r="J198" s="285" t="s">
        <v>597</v>
      </c>
      <c r="K198" s="285" t="s">
        <v>596</v>
      </c>
      <c r="L198" s="285" t="s">
        <v>597</v>
      </c>
      <c r="M198" s="285" t="s">
        <v>596</v>
      </c>
      <c r="N198" s="285" t="s">
        <v>597</v>
      </c>
      <c r="O198" s="202" t="s">
        <v>247</v>
      </c>
      <c r="P198" s="299"/>
    </row>
    <row r="199" spans="1:18">
      <c r="A199" s="306" t="s">
        <v>1021</v>
      </c>
      <c r="B199" s="307">
        <f t="shared" ref="B199:D203" si="24">M189</f>
        <v>147126.55000000002</v>
      </c>
      <c r="C199" s="308">
        <f t="shared" si="24"/>
        <v>0</v>
      </c>
      <c r="D199" s="211">
        <f t="shared" si="24"/>
        <v>24316.026509767627</v>
      </c>
      <c r="E199" s="307">
        <v>81.680000000000007</v>
      </c>
      <c r="F199" s="309"/>
      <c r="G199" s="307"/>
      <c r="H199" s="309"/>
      <c r="I199" s="307">
        <v>8046.92</v>
      </c>
      <c r="J199" s="309"/>
      <c r="K199" s="307"/>
      <c r="L199" s="309"/>
      <c r="M199" s="307">
        <f>B199-K199+E199-I199+G199</f>
        <v>139161.31</v>
      </c>
      <c r="N199" s="308">
        <f>C199+F199+H199-J199-L199</f>
        <v>0</v>
      </c>
      <c r="O199" s="211">
        <f>M199/6.0406</f>
        <v>23037.66347713803</v>
      </c>
      <c r="P199" s="310" t="s">
        <v>199</v>
      </c>
      <c r="R199" s="232">
        <f>O199-D199</f>
        <v>-1278.363032629597</v>
      </c>
    </row>
    <row r="200" spans="1:18">
      <c r="A200" s="293" t="s">
        <v>1029</v>
      </c>
      <c r="B200" s="307">
        <f t="shared" si="24"/>
        <v>285.37000000002809</v>
      </c>
      <c r="C200" s="308">
        <f t="shared" si="24"/>
        <v>1.4700000000011642</v>
      </c>
      <c r="D200" s="211">
        <f t="shared" si="24"/>
        <v>48.633917628009641</v>
      </c>
      <c r="E200" s="289"/>
      <c r="F200" s="309"/>
      <c r="G200" s="289">
        <v>39000</v>
      </c>
      <c r="H200" s="288"/>
      <c r="I200" s="289">
        <v>32591</v>
      </c>
      <c r="J200" s="309"/>
      <c r="K200" s="289"/>
      <c r="L200" s="309"/>
      <c r="M200" s="289">
        <f>B200-K200+E200+G200-I200</f>
        <v>6694.3700000000244</v>
      </c>
      <c r="N200" s="294">
        <f>C200+H200-L200+F200-J200</f>
        <v>1.4700000000011642</v>
      </c>
      <c r="O200" s="211">
        <f>M200/6.0406+N200</f>
        <v>1109.6993149687169</v>
      </c>
      <c r="P200" s="301" t="s">
        <v>201</v>
      </c>
      <c r="R200" s="232">
        <f t="shared" ref="R200:R203" si="25">O200-D200</f>
        <v>1061.0653973407072</v>
      </c>
    </row>
    <row r="201" spans="1:18">
      <c r="A201" s="286" t="s">
        <v>1030</v>
      </c>
      <c r="B201" s="307">
        <f t="shared" si="24"/>
        <v>97824.319999999978</v>
      </c>
      <c r="C201" s="308">
        <f t="shared" si="24"/>
        <v>3.6</v>
      </c>
      <c r="D201" s="211">
        <f t="shared" si="24"/>
        <v>16171.305682081113</v>
      </c>
      <c r="E201" s="307"/>
      <c r="F201" s="308"/>
      <c r="G201" s="307"/>
      <c r="H201" s="288">
        <v>50000</v>
      </c>
      <c r="I201" s="311"/>
      <c r="J201" s="309"/>
      <c r="K201" s="307">
        <v>89000</v>
      </c>
      <c r="L201" s="309"/>
      <c r="M201" s="307">
        <f>B201+E201+G201-K201</f>
        <v>8824.3199999999779</v>
      </c>
      <c r="N201" s="308">
        <f>C201-L201+H201</f>
        <v>50003.6</v>
      </c>
      <c r="O201" s="211">
        <f>M201/6.0406+N201</f>
        <v>51464.435016389092</v>
      </c>
      <c r="P201" s="310" t="s">
        <v>199</v>
      </c>
      <c r="R201" s="232">
        <f t="shared" si="25"/>
        <v>35293.129334307981</v>
      </c>
    </row>
    <row r="202" spans="1:18">
      <c r="A202" s="293" t="s">
        <v>1022</v>
      </c>
      <c r="B202" s="307">
        <f t="shared" si="24"/>
        <v>0</v>
      </c>
      <c r="C202" s="308">
        <f t="shared" si="24"/>
        <v>284492.68</v>
      </c>
      <c r="D202" s="211">
        <f t="shared" si="24"/>
        <v>284492.68</v>
      </c>
      <c r="E202" s="295"/>
      <c r="F202" s="294"/>
      <c r="G202" s="289"/>
      <c r="H202" s="294"/>
      <c r="I202" s="295"/>
      <c r="J202" s="288">
        <v>652</v>
      </c>
      <c r="K202" s="295"/>
      <c r="L202" s="288">
        <v>50000</v>
      </c>
      <c r="M202" s="289">
        <v>0</v>
      </c>
      <c r="N202" s="294">
        <f>C202-J202-L202+F202</f>
        <v>233840.68</v>
      </c>
      <c r="O202" s="211">
        <f>N202</f>
        <v>233840.68</v>
      </c>
      <c r="P202" s="301" t="s">
        <v>197</v>
      </c>
      <c r="R202" s="232">
        <f t="shared" si="25"/>
        <v>-50652</v>
      </c>
    </row>
    <row r="203" spans="1:18">
      <c r="A203" s="286" t="s">
        <v>1023</v>
      </c>
      <c r="B203" s="307">
        <f t="shared" si="24"/>
        <v>245236.24000000002</v>
      </c>
      <c r="C203" s="308">
        <f t="shared" si="24"/>
        <v>284497.75</v>
      </c>
      <c r="D203" s="211">
        <f t="shared" si="24"/>
        <v>325028.64610947674</v>
      </c>
      <c r="E203" s="290"/>
      <c r="F203" s="290"/>
      <c r="G203" s="290"/>
      <c r="H203" s="290"/>
      <c r="I203" s="290"/>
      <c r="J203" s="290"/>
      <c r="K203" s="290"/>
      <c r="L203" s="290"/>
      <c r="M203" s="287">
        <f>SUM(M199:M202)</f>
        <v>154680</v>
      </c>
      <c r="N203" s="288">
        <f>SUM(N199:N202)</f>
        <v>283845.75</v>
      </c>
      <c r="O203" s="211">
        <f>SUM(O199:O202)</f>
        <v>309452.47780849587</v>
      </c>
      <c r="P203" s="300"/>
      <c r="R203" s="233">
        <f t="shared" si="25"/>
        <v>-15576.168300980877</v>
      </c>
    </row>
    <row r="204" spans="1:18">
      <c r="A204" s="297">
        <v>6.0406000000000004</v>
      </c>
      <c r="C204" s="307"/>
      <c r="D204" s="308"/>
      <c r="E204" s="290"/>
      <c r="F204" s="290"/>
      <c r="G204" s="290"/>
      <c r="H204" s="290"/>
      <c r="I204" s="290"/>
      <c r="J204" s="290"/>
      <c r="K204" s="290"/>
      <c r="L204" s="290"/>
      <c r="M204" s="287"/>
      <c r="N204" s="288"/>
      <c r="O204" s="290"/>
      <c r="P204" s="290"/>
    </row>
    <row r="205" spans="1:18">
      <c r="A205" s="296"/>
      <c r="B205" s="286"/>
      <c r="C205" s="307"/>
      <c r="D205" s="308"/>
      <c r="E205" s="290"/>
      <c r="F205" s="290"/>
      <c r="G205" s="290"/>
      <c r="H205" s="290"/>
      <c r="I205" s="290"/>
      <c r="J205" s="290"/>
      <c r="K205" s="290"/>
      <c r="L205" s="290"/>
      <c r="M205" s="287"/>
      <c r="N205" s="288"/>
      <c r="O205" s="290"/>
      <c r="P205" s="290"/>
    </row>
    <row r="206" spans="1:18">
      <c r="A206" s="296"/>
      <c r="B206" s="286"/>
      <c r="C206" s="307"/>
      <c r="D206" s="308"/>
      <c r="E206" s="290"/>
      <c r="F206" s="290"/>
      <c r="G206" s="290"/>
      <c r="H206" s="290"/>
      <c r="I206" s="290"/>
      <c r="J206" s="290"/>
      <c r="K206" s="290"/>
      <c r="L206" s="290"/>
      <c r="M206" s="287"/>
      <c r="N206" s="288"/>
      <c r="O206" s="290"/>
      <c r="P206" s="290"/>
    </row>
    <row r="207" spans="1:18">
      <c r="A207" s="200">
        <v>41518</v>
      </c>
      <c r="B207" s="561" t="s">
        <v>245</v>
      </c>
      <c r="C207" s="561"/>
      <c r="D207" s="561"/>
      <c r="E207" s="564" t="s">
        <v>1024</v>
      </c>
      <c r="F207" s="564"/>
      <c r="G207" s="564" t="s">
        <v>1025</v>
      </c>
      <c r="H207" s="564"/>
      <c r="I207" s="564" t="s">
        <v>1026</v>
      </c>
      <c r="J207" s="564"/>
      <c r="K207" s="564" t="s">
        <v>1027</v>
      </c>
      <c r="L207" s="564"/>
      <c r="M207" s="563" t="s">
        <v>1028</v>
      </c>
      <c r="N207" s="563"/>
      <c r="O207" s="563"/>
      <c r="P207" s="298" t="s">
        <v>194</v>
      </c>
      <c r="R207" s="234" t="s">
        <v>996</v>
      </c>
    </row>
    <row r="208" spans="1:18">
      <c r="A208" s="202" t="s">
        <v>195</v>
      </c>
      <c r="B208" s="285" t="s">
        <v>596</v>
      </c>
      <c r="C208" s="285" t="s">
        <v>597</v>
      </c>
      <c r="D208" s="202" t="s">
        <v>247</v>
      </c>
      <c r="E208" s="285" t="s">
        <v>596</v>
      </c>
      <c r="F208" s="285" t="s">
        <v>597</v>
      </c>
      <c r="G208" s="285" t="s">
        <v>596</v>
      </c>
      <c r="H208" s="285" t="s">
        <v>597</v>
      </c>
      <c r="I208" s="285" t="s">
        <v>596</v>
      </c>
      <c r="J208" s="285" t="s">
        <v>597</v>
      </c>
      <c r="K208" s="285" t="s">
        <v>596</v>
      </c>
      <c r="L208" s="285" t="s">
        <v>597</v>
      </c>
      <c r="M208" s="285" t="s">
        <v>596</v>
      </c>
      <c r="N208" s="285" t="s">
        <v>597</v>
      </c>
      <c r="O208" s="202" t="s">
        <v>247</v>
      </c>
      <c r="P208" s="299"/>
    </row>
    <row r="209" spans="1:18">
      <c r="A209" s="306" t="s">
        <v>1021</v>
      </c>
      <c r="B209" s="307">
        <f t="shared" ref="B209:D213" si="26">M199</f>
        <v>139161.31</v>
      </c>
      <c r="C209" s="308">
        <f t="shared" si="26"/>
        <v>0</v>
      </c>
      <c r="D209" s="211">
        <f t="shared" si="26"/>
        <v>23037.66347713803</v>
      </c>
      <c r="E209" s="307">
        <v>56.78</v>
      </c>
      <c r="F209" s="309"/>
      <c r="G209" s="307"/>
      <c r="H209" s="309"/>
      <c r="I209" s="307">
        <v>8345.48</v>
      </c>
      <c r="J209" s="309"/>
      <c r="K209" s="307">
        <v>60000</v>
      </c>
      <c r="L209" s="309"/>
      <c r="M209" s="307">
        <f>B209+E209-I209-K209</f>
        <v>70872.61</v>
      </c>
      <c r="N209" s="308">
        <f>C209+F209+H209-J209-L209</f>
        <v>0</v>
      </c>
      <c r="O209" s="211">
        <f>M209/6.0121</f>
        <v>11788.328537449477</v>
      </c>
      <c r="P209" s="310" t="s">
        <v>199</v>
      </c>
      <c r="R209" s="232">
        <f>O209-D209</f>
        <v>-11249.334939688553</v>
      </c>
    </row>
    <row r="210" spans="1:18">
      <c r="A210" s="293" t="s">
        <v>1029</v>
      </c>
      <c r="B210" s="307">
        <f t="shared" si="26"/>
        <v>6694.3700000000244</v>
      </c>
      <c r="C210" s="308">
        <f t="shared" si="26"/>
        <v>1.4700000000011642</v>
      </c>
      <c r="D210" s="211">
        <f t="shared" si="26"/>
        <v>1109.6993149687169</v>
      </c>
      <c r="E210" s="289">
        <v>9.82</v>
      </c>
      <c r="F210" s="309"/>
      <c r="G210" s="289">
        <v>30288</v>
      </c>
      <c r="H210" s="288"/>
      <c r="I210" s="289">
        <v>36856</v>
      </c>
      <c r="J210" s="309"/>
      <c r="K210" s="289"/>
      <c r="L210" s="309"/>
      <c r="M210" s="289">
        <f>B210-K210+E210+G210-I210</f>
        <v>136.19000000002416</v>
      </c>
      <c r="N210" s="294">
        <f>C210+H210-L210+F210-J210</f>
        <v>1.4700000000011642</v>
      </c>
      <c r="O210" s="211">
        <f>M210/6.0121+N210</f>
        <v>24.122650488187347</v>
      </c>
      <c r="P210" s="301" t="s">
        <v>201</v>
      </c>
      <c r="R210" s="232">
        <f t="shared" ref="R210:R213" si="27">O210-D210</f>
        <v>-1085.5766644805294</v>
      </c>
    </row>
    <row r="211" spans="1:18">
      <c r="A211" s="286" t="s">
        <v>1030</v>
      </c>
      <c r="B211" s="307">
        <f t="shared" si="26"/>
        <v>8824.3199999999779</v>
      </c>
      <c r="C211" s="308">
        <f t="shared" si="26"/>
        <v>50003.6</v>
      </c>
      <c r="D211" s="211">
        <f t="shared" si="26"/>
        <v>51464.435016389092</v>
      </c>
      <c r="E211" s="307">
        <v>45.87</v>
      </c>
      <c r="F211" s="308">
        <v>1.71</v>
      </c>
      <c r="G211" s="307">
        <v>42345.53</v>
      </c>
      <c r="H211" s="288"/>
      <c r="I211" s="311"/>
      <c r="J211" s="309"/>
      <c r="K211" s="307">
        <v>51000</v>
      </c>
      <c r="L211" s="308">
        <v>16937</v>
      </c>
      <c r="M211" s="307">
        <f>B211+E211+G211-K211</f>
        <v>215.71999999997934</v>
      </c>
      <c r="N211" s="308">
        <f>C211-L211+H211+F211</f>
        <v>33068.31</v>
      </c>
      <c r="O211" s="211">
        <f>M211/6.0121+N211</f>
        <v>33104.190973370365</v>
      </c>
      <c r="P211" s="310" t="s">
        <v>199</v>
      </c>
      <c r="R211" s="232">
        <f t="shared" si="27"/>
        <v>-18360.244043018727</v>
      </c>
    </row>
    <row r="212" spans="1:18">
      <c r="A212" s="293" t="s">
        <v>1022</v>
      </c>
      <c r="B212" s="307">
        <f t="shared" si="26"/>
        <v>0</v>
      </c>
      <c r="C212" s="308">
        <f t="shared" si="26"/>
        <v>233840.68</v>
      </c>
      <c r="D212" s="211">
        <f t="shared" si="26"/>
        <v>233840.68</v>
      </c>
      <c r="E212" s="295"/>
      <c r="F212" s="294"/>
      <c r="G212" s="289"/>
      <c r="H212" s="294"/>
      <c r="I212" s="295"/>
      <c r="J212" s="288">
        <v>14900</v>
      </c>
      <c r="K212" s="295"/>
      <c r="L212" s="288"/>
      <c r="M212" s="289">
        <v>0</v>
      </c>
      <c r="N212" s="294">
        <f>C212-J212-L212+F212</f>
        <v>218940.68</v>
      </c>
      <c r="O212" s="211">
        <f>N212</f>
        <v>218940.68</v>
      </c>
      <c r="P212" s="301" t="s">
        <v>197</v>
      </c>
      <c r="R212" s="232">
        <f t="shared" si="27"/>
        <v>-14900</v>
      </c>
    </row>
    <row r="213" spans="1:18">
      <c r="A213" s="286" t="s">
        <v>1023</v>
      </c>
      <c r="B213" s="307">
        <f t="shared" si="26"/>
        <v>154680</v>
      </c>
      <c r="C213" s="308">
        <f t="shared" si="26"/>
        <v>283845.75</v>
      </c>
      <c r="D213" s="211">
        <f t="shared" si="26"/>
        <v>309452.47780849587</v>
      </c>
      <c r="E213" s="290"/>
      <c r="F213" s="290"/>
      <c r="G213" s="290"/>
      <c r="H213" s="290"/>
      <c r="I213" s="290"/>
      <c r="J213" s="290"/>
      <c r="K213" s="290"/>
      <c r="L213" s="290"/>
      <c r="M213" s="287">
        <f>SUM(M209:M212)</f>
        <v>71224.51999999999</v>
      </c>
      <c r="N213" s="288">
        <f>SUM(N209:N212)</f>
        <v>252010.46</v>
      </c>
      <c r="O213" s="211">
        <f>SUM(O209:O212)</f>
        <v>263857.32216130802</v>
      </c>
      <c r="P213" s="300"/>
      <c r="R213" s="233">
        <f t="shared" si="27"/>
        <v>-45595.155647187843</v>
      </c>
    </row>
    <row r="214" spans="1:18">
      <c r="A214" s="297">
        <v>6.0121000000000002</v>
      </c>
      <c r="C214" s="307"/>
      <c r="D214" s="308"/>
      <c r="E214" s="290"/>
      <c r="F214" s="290"/>
      <c r="G214" s="290"/>
      <c r="H214" s="290"/>
      <c r="I214" s="290"/>
      <c r="J214" s="290"/>
      <c r="K214" s="290"/>
      <c r="L214" s="290"/>
      <c r="M214" s="287"/>
      <c r="N214" s="288"/>
      <c r="O214" s="290"/>
      <c r="P214" s="290"/>
    </row>
    <row r="215" spans="1:18">
      <c r="A215" s="296"/>
      <c r="B215" s="286"/>
      <c r="C215" s="307"/>
      <c r="D215" s="308"/>
      <c r="E215" s="290"/>
      <c r="F215" s="290"/>
      <c r="G215" s="290"/>
      <c r="H215" s="290"/>
      <c r="I215" s="290"/>
      <c r="J215" s="290"/>
      <c r="K215" s="290"/>
      <c r="L215" s="290"/>
      <c r="M215" s="287"/>
      <c r="N215" s="288"/>
      <c r="O215" s="290"/>
      <c r="P215" s="290"/>
    </row>
    <row r="216" spans="1:18">
      <c r="A216" s="296"/>
      <c r="B216" s="286"/>
      <c r="C216" s="307"/>
      <c r="D216" s="308"/>
      <c r="E216" s="290"/>
      <c r="F216" s="290"/>
      <c r="G216" s="290"/>
      <c r="H216" s="290"/>
      <c r="I216" s="290"/>
      <c r="J216" s="290"/>
      <c r="K216" s="290"/>
      <c r="L216" s="290"/>
      <c r="M216" s="287"/>
      <c r="N216" s="288"/>
      <c r="O216" s="290"/>
      <c r="P216" s="290"/>
    </row>
    <row r="217" spans="1:18">
      <c r="A217" s="200">
        <v>41548</v>
      </c>
      <c r="B217" s="561" t="s">
        <v>245</v>
      </c>
      <c r="C217" s="561"/>
      <c r="D217" s="561"/>
      <c r="E217" s="564" t="s">
        <v>1024</v>
      </c>
      <c r="F217" s="564"/>
      <c r="G217" s="564" t="s">
        <v>1025</v>
      </c>
      <c r="H217" s="564"/>
      <c r="I217" s="564" t="s">
        <v>1026</v>
      </c>
      <c r="J217" s="564"/>
      <c r="K217" s="564" t="s">
        <v>1027</v>
      </c>
      <c r="L217" s="564"/>
      <c r="M217" s="563" t="s">
        <v>1028</v>
      </c>
      <c r="N217" s="563"/>
      <c r="O217" s="563"/>
      <c r="P217" s="298" t="s">
        <v>194</v>
      </c>
      <c r="R217" s="234" t="s">
        <v>996</v>
      </c>
    </row>
    <row r="218" spans="1:18">
      <c r="A218" s="202" t="s">
        <v>195</v>
      </c>
      <c r="B218" s="285" t="s">
        <v>596</v>
      </c>
      <c r="C218" s="285" t="s">
        <v>597</v>
      </c>
      <c r="D218" s="202" t="s">
        <v>247</v>
      </c>
      <c r="E218" s="285" t="s">
        <v>596</v>
      </c>
      <c r="F218" s="285" t="s">
        <v>597</v>
      </c>
      <c r="G218" s="285" t="s">
        <v>596</v>
      </c>
      <c r="H218" s="285" t="s">
        <v>597</v>
      </c>
      <c r="I218" s="285" t="s">
        <v>596</v>
      </c>
      <c r="J218" s="285" t="s">
        <v>597</v>
      </c>
      <c r="K218" s="285" t="s">
        <v>596</v>
      </c>
      <c r="L218" s="285" t="s">
        <v>597</v>
      </c>
      <c r="M218" s="285" t="s">
        <v>596</v>
      </c>
      <c r="N218" s="285" t="s">
        <v>597</v>
      </c>
      <c r="O218" s="202" t="s">
        <v>247</v>
      </c>
      <c r="P218" s="299"/>
    </row>
    <row r="219" spans="1:18">
      <c r="A219" s="306" t="s">
        <v>1021</v>
      </c>
      <c r="B219" s="307">
        <f t="shared" ref="B219:D223" si="28">M209</f>
        <v>70872.61</v>
      </c>
      <c r="C219" s="308">
        <f t="shared" si="28"/>
        <v>0</v>
      </c>
      <c r="D219" s="211">
        <f t="shared" si="28"/>
        <v>11788.328537449477</v>
      </c>
      <c r="E219" s="307"/>
      <c r="F219" s="309"/>
      <c r="G219" s="307"/>
      <c r="H219" s="294">
        <v>100000</v>
      </c>
      <c r="I219" s="307">
        <v>3259.24</v>
      </c>
      <c r="J219" s="309"/>
      <c r="K219" s="307">
        <v>40000</v>
      </c>
      <c r="L219" s="309"/>
      <c r="M219" s="307">
        <f>B219+E219-I219-K219</f>
        <v>27613.369999999995</v>
      </c>
      <c r="N219" s="308">
        <f>C219+F219+H219-J219-L219</f>
        <v>100000</v>
      </c>
      <c r="O219" s="211">
        <f>M219/6.0043+N219</f>
        <v>104598.93243175725</v>
      </c>
      <c r="P219" s="310" t="s">
        <v>199</v>
      </c>
      <c r="R219" s="232">
        <f>O219-D219</f>
        <v>92810.603894307773</v>
      </c>
    </row>
    <row r="220" spans="1:18">
      <c r="A220" s="293" t="s">
        <v>1029</v>
      </c>
      <c r="B220" s="307">
        <f t="shared" si="28"/>
        <v>136.19000000002416</v>
      </c>
      <c r="C220" s="308">
        <f t="shared" si="28"/>
        <v>1.4700000000011642</v>
      </c>
      <c r="D220" s="211">
        <f t="shared" si="28"/>
        <v>24.122650488187347</v>
      </c>
      <c r="E220" s="289"/>
      <c r="F220" s="294"/>
      <c r="G220" s="289"/>
      <c r="H220" s="289"/>
      <c r="I220" s="289"/>
      <c r="J220" s="309"/>
      <c r="K220" s="289"/>
      <c r="L220" s="309"/>
      <c r="M220" s="289">
        <f>B220-K220+E220+G220-I220</f>
        <v>136.19000000002416</v>
      </c>
      <c r="N220" s="294">
        <f>C220+H220-L220+F220-J220</f>
        <v>1.4700000000011642</v>
      </c>
      <c r="O220" s="211">
        <f t="shared" ref="O220:O221" si="29">M220/6.0043+N220</f>
        <v>24.152077844216837</v>
      </c>
      <c r="P220" s="301" t="s">
        <v>201</v>
      </c>
      <c r="R220" s="232">
        <f t="shared" ref="R220:R223" si="30">O220-D220</f>
        <v>2.9427356029490426E-2</v>
      </c>
    </row>
    <row r="221" spans="1:18">
      <c r="A221" s="286" t="s">
        <v>1030</v>
      </c>
      <c r="B221" s="307">
        <f t="shared" si="28"/>
        <v>215.71999999997934</v>
      </c>
      <c r="C221" s="308">
        <f t="shared" si="28"/>
        <v>33068.31</v>
      </c>
      <c r="D221" s="211">
        <f t="shared" si="28"/>
        <v>33104.190973370365</v>
      </c>
      <c r="E221" s="307"/>
      <c r="F221" s="308"/>
      <c r="G221" s="307"/>
      <c r="H221" s="288"/>
      <c r="I221" s="311"/>
      <c r="J221" s="309"/>
      <c r="K221" s="307"/>
      <c r="L221" s="308">
        <v>14900</v>
      </c>
      <c r="M221" s="307">
        <f>B221+E221+G221-K221</f>
        <v>215.71999999997934</v>
      </c>
      <c r="N221" s="308">
        <f>C221-L221+H221</f>
        <v>18168.309999999998</v>
      </c>
      <c r="O221" s="211">
        <f t="shared" si="29"/>
        <v>18204.237585230578</v>
      </c>
      <c r="P221" s="310" t="s">
        <v>199</v>
      </c>
      <c r="R221" s="232">
        <f t="shared" si="30"/>
        <v>-14899.953388139787</v>
      </c>
    </row>
    <row r="222" spans="1:18">
      <c r="A222" s="293" t="s">
        <v>1022</v>
      </c>
      <c r="B222" s="307">
        <f t="shared" si="28"/>
        <v>0</v>
      </c>
      <c r="C222" s="308">
        <f t="shared" si="28"/>
        <v>218940.68</v>
      </c>
      <c r="D222" s="211">
        <f t="shared" si="28"/>
        <v>218940.68</v>
      </c>
      <c r="E222" s="295"/>
      <c r="F222" s="294"/>
      <c r="G222" s="289"/>
      <c r="H222" s="294"/>
      <c r="I222" s="295"/>
      <c r="J222" s="294">
        <v>45</v>
      </c>
      <c r="K222" s="295"/>
      <c r="L222" s="288">
        <v>100000</v>
      </c>
      <c r="M222" s="289">
        <v>0</v>
      </c>
      <c r="N222" s="294">
        <f>C222-J222-L222+F222</f>
        <v>118895.67999999999</v>
      </c>
      <c r="O222" s="211">
        <f>N222</f>
        <v>118895.67999999999</v>
      </c>
      <c r="P222" s="301" t="s">
        <v>197</v>
      </c>
      <c r="R222" s="232">
        <f t="shared" si="30"/>
        <v>-100045</v>
      </c>
    </row>
    <row r="223" spans="1:18">
      <c r="A223" s="286" t="s">
        <v>1023</v>
      </c>
      <c r="B223" s="307">
        <f t="shared" si="28"/>
        <v>71224.51999999999</v>
      </c>
      <c r="C223" s="308">
        <f t="shared" si="28"/>
        <v>252010.46</v>
      </c>
      <c r="D223" s="211">
        <f t="shared" si="28"/>
        <v>263857.32216130802</v>
      </c>
      <c r="E223" s="290"/>
      <c r="F223" s="290"/>
      <c r="G223" s="290"/>
      <c r="H223" s="290"/>
      <c r="I223" s="290"/>
      <c r="J223" s="290"/>
      <c r="K223" s="290"/>
      <c r="L223" s="290"/>
      <c r="M223" s="287">
        <f>SUM(M219:M222)</f>
        <v>27965.279999999999</v>
      </c>
      <c r="N223" s="288">
        <f>SUM(N219:N222)</f>
        <v>237065.46</v>
      </c>
      <c r="O223" s="211">
        <f>SUM(O219:O222)</f>
        <v>241723.00209483205</v>
      </c>
      <c r="P223" s="300"/>
      <c r="R223" s="233">
        <f t="shared" si="30"/>
        <v>-22134.320066475979</v>
      </c>
    </row>
    <row r="224" spans="1:18">
      <c r="A224" s="297">
        <v>6.0042999999999997</v>
      </c>
    </row>
    <row r="227" spans="1:18">
      <c r="A227" s="200">
        <v>41579</v>
      </c>
      <c r="B227" s="561" t="s">
        <v>245</v>
      </c>
      <c r="C227" s="561"/>
      <c r="D227" s="561"/>
      <c r="E227" s="564" t="s">
        <v>1017</v>
      </c>
      <c r="F227" s="564"/>
      <c r="G227" s="564" t="s">
        <v>1018</v>
      </c>
      <c r="H227" s="564"/>
      <c r="I227" s="564" t="s">
        <v>1019</v>
      </c>
      <c r="J227" s="564"/>
      <c r="K227" s="564" t="s">
        <v>1020</v>
      </c>
      <c r="L227" s="564"/>
      <c r="M227" s="563" t="s">
        <v>246</v>
      </c>
      <c r="N227" s="563"/>
      <c r="O227" s="563"/>
      <c r="R227" s="234" t="s">
        <v>996</v>
      </c>
    </row>
    <row r="228" spans="1:18">
      <c r="A228" s="202" t="s">
        <v>195</v>
      </c>
      <c r="B228" s="285" t="s">
        <v>596</v>
      </c>
      <c r="C228" s="285" t="s">
        <v>597</v>
      </c>
      <c r="D228" s="202" t="s">
        <v>247</v>
      </c>
      <c r="E228" s="285" t="s">
        <v>596</v>
      </c>
      <c r="F228" s="285" t="s">
        <v>597</v>
      </c>
      <c r="G228" s="285" t="s">
        <v>596</v>
      </c>
      <c r="H228" s="285" t="s">
        <v>597</v>
      </c>
      <c r="I228" s="285" t="s">
        <v>596</v>
      </c>
      <c r="J228" s="285" t="s">
        <v>597</v>
      </c>
      <c r="K228" s="285" t="s">
        <v>596</v>
      </c>
      <c r="L228" s="285" t="s">
        <v>597</v>
      </c>
      <c r="M228" s="285" t="s">
        <v>596</v>
      </c>
      <c r="N228" s="285" t="s">
        <v>597</v>
      </c>
      <c r="O228" s="202" t="s">
        <v>247</v>
      </c>
    </row>
    <row r="229" spans="1:18">
      <c r="A229" s="306" t="s">
        <v>1021</v>
      </c>
      <c r="B229" s="307">
        <f t="shared" ref="B229:B233" si="31">M219</f>
        <v>27613.369999999995</v>
      </c>
      <c r="C229" s="308">
        <f t="shared" ref="C229:C233" si="32">N219</f>
        <v>100000</v>
      </c>
      <c r="D229" s="211">
        <f t="shared" ref="D229:D233" si="33">O219</f>
        <v>104598.93243175725</v>
      </c>
      <c r="E229" s="307"/>
      <c r="F229" s="309"/>
      <c r="G229" s="307"/>
      <c r="H229" s="294"/>
      <c r="I229" s="307">
        <v>4634.68</v>
      </c>
      <c r="J229" s="309"/>
      <c r="K229" s="307"/>
      <c r="L229" s="309"/>
      <c r="M229" s="307">
        <f>B229+E229-I229-K229</f>
        <v>22978.689999999995</v>
      </c>
      <c r="N229" s="308">
        <f>C229+F229+H229-J229-L229</f>
        <v>100000</v>
      </c>
      <c r="O229" s="211">
        <f>M229/6.0045+N229</f>
        <v>103826.91148305437</v>
      </c>
      <c r="R229" s="232">
        <f>O229-D229</f>
        <v>-772.02094870287692</v>
      </c>
    </row>
    <row r="230" spans="1:18">
      <c r="A230" s="293" t="s">
        <v>1029</v>
      </c>
      <c r="B230" s="307">
        <f t="shared" si="31"/>
        <v>136.19000000002416</v>
      </c>
      <c r="C230" s="308">
        <f t="shared" si="32"/>
        <v>1.4700000000011642</v>
      </c>
      <c r="D230" s="211">
        <f t="shared" si="33"/>
        <v>24.152077844216837</v>
      </c>
      <c r="E230" s="289"/>
      <c r="F230" s="294"/>
      <c r="G230" s="289">
        <v>69551.41</v>
      </c>
      <c r="H230" s="289"/>
      <c r="I230" s="289">
        <v>39292</v>
      </c>
      <c r="J230" s="309"/>
      <c r="K230" s="289"/>
      <c r="L230" s="309"/>
      <c r="M230" s="289">
        <f>B230-K230+E230+G230-I230</f>
        <v>30395.600000000035</v>
      </c>
      <c r="N230" s="294">
        <f>C230+H230-L230+F230-J230</f>
        <v>1.4700000000011642</v>
      </c>
      <c r="O230" s="211">
        <f>M230/6.0045+N230</f>
        <v>5063.6067307852509</v>
      </c>
      <c r="R230" s="232">
        <f t="shared" ref="R230:R233" si="34">O230-D230</f>
        <v>5039.4546529410336</v>
      </c>
    </row>
    <row r="231" spans="1:18">
      <c r="A231" s="286" t="s">
        <v>1030</v>
      </c>
      <c r="B231" s="307">
        <f t="shared" si="31"/>
        <v>215.71999999997934</v>
      </c>
      <c r="C231" s="308">
        <f t="shared" si="32"/>
        <v>18168.309999999998</v>
      </c>
      <c r="D231" s="211">
        <f t="shared" si="33"/>
        <v>18204.237585230578</v>
      </c>
      <c r="E231" s="307"/>
      <c r="F231" s="308"/>
      <c r="G231" s="307"/>
      <c r="H231" s="288"/>
      <c r="I231" s="289">
        <v>10</v>
      </c>
      <c r="J231" s="309"/>
      <c r="K231" s="307"/>
      <c r="L231" s="308">
        <v>9900</v>
      </c>
      <c r="M231" s="307">
        <f>B231+E231+G231-K231-I231</f>
        <v>205.71999999997934</v>
      </c>
      <c r="N231" s="308">
        <f>C231-L231+H231</f>
        <v>8268.3099999999977</v>
      </c>
      <c r="O231" s="211">
        <f>M231/6.0045+N231</f>
        <v>8302.5709709384573</v>
      </c>
      <c r="R231" s="232">
        <f t="shared" si="34"/>
        <v>-9901.6666142921204</v>
      </c>
    </row>
    <row r="232" spans="1:18">
      <c r="A232" s="293" t="s">
        <v>1022</v>
      </c>
      <c r="B232" s="307">
        <f t="shared" si="31"/>
        <v>0</v>
      </c>
      <c r="C232" s="308">
        <f t="shared" si="32"/>
        <v>118895.67999999999</v>
      </c>
      <c r="D232" s="211">
        <f t="shared" si="33"/>
        <v>118895.67999999999</v>
      </c>
      <c r="E232" s="295"/>
      <c r="F232" s="294"/>
      <c r="G232" s="289"/>
      <c r="H232" s="294"/>
      <c r="I232" s="295"/>
      <c r="J232" s="294">
        <v>200</v>
      </c>
      <c r="K232" s="295"/>
      <c r="L232" s="288"/>
      <c r="M232" s="289">
        <v>0</v>
      </c>
      <c r="N232" s="294">
        <f>C232-J232-L232+F232</f>
        <v>118695.67999999999</v>
      </c>
      <c r="O232" s="211">
        <f>N232</f>
        <v>118695.67999999999</v>
      </c>
      <c r="R232" s="232">
        <f t="shared" si="34"/>
        <v>-200</v>
      </c>
    </row>
    <row r="233" spans="1:18">
      <c r="A233" s="286" t="s">
        <v>1023</v>
      </c>
      <c r="B233" s="307">
        <f t="shared" si="31"/>
        <v>27965.279999999999</v>
      </c>
      <c r="C233" s="308">
        <f t="shared" si="32"/>
        <v>237065.46</v>
      </c>
      <c r="D233" s="211">
        <f t="shared" si="33"/>
        <v>241723.00209483205</v>
      </c>
      <c r="E233" s="290"/>
      <c r="F233" s="290"/>
      <c r="G233" s="290"/>
      <c r="H233" s="290"/>
      <c r="I233" s="290"/>
      <c r="J233" s="290"/>
      <c r="K233" s="290"/>
      <c r="L233" s="290"/>
      <c r="M233" s="287">
        <f>SUM(M229:M232)</f>
        <v>53580.010000000009</v>
      </c>
      <c r="N233" s="288">
        <f>SUM(N229:N232)</f>
        <v>226965.46</v>
      </c>
      <c r="O233" s="211">
        <f>SUM(O229:O232)</f>
        <v>235888.76918477807</v>
      </c>
      <c r="R233" s="233">
        <f t="shared" si="34"/>
        <v>-5834.2329100539791</v>
      </c>
    </row>
    <row r="234" spans="1:18">
      <c r="A234" s="297">
        <v>6.0045000000000002</v>
      </c>
    </row>
    <row r="237" spans="1:18">
      <c r="A237" s="200">
        <v>41609</v>
      </c>
      <c r="B237" s="561" t="s">
        <v>245</v>
      </c>
      <c r="C237" s="561"/>
      <c r="D237" s="561"/>
      <c r="E237" s="564" t="s">
        <v>1017</v>
      </c>
      <c r="F237" s="564"/>
      <c r="G237" s="564" t="s">
        <v>1018</v>
      </c>
      <c r="H237" s="564"/>
      <c r="I237" s="564" t="s">
        <v>1019</v>
      </c>
      <c r="J237" s="564"/>
      <c r="K237" s="564" t="s">
        <v>1020</v>
      </c>
      <c r="L237" s="564"/>
      <c r="M237" s="563" t="s">
        <v>1028</v>
      </c>
      <c r="N237" s="563"/>
      <c r="O237" s="563"/>
      <c r="R237" s="234" t="s">
        <v>996</v>
      </c>
    </row>
    <row r="238" spans="1:18">
      <c r="A238" s="202" t="s">
        <v>195</v>
      </c>
      <c r="B238" s="285" t="s">
        <v>596</v>
      </c>
      <c r="C238" s="285" t="s">
        <v>597</v>
      </c>
      <c r="D238" s="202" t="s">
        <v>247</v>
      </c>
      <c r="E238" s="285" t="s">
        <v>596</v>
      </c>
      <c r="F238" s="285" t="s">
        <v>597</v>
      </c>
      <c r="G238" s="285" t="s">
        <v>596</v>
      </c>
      <c r="H238" s="285" t="s">
        <v>597</v>
      </c>
      <c r="I238" s="285" t="s">
        <v>596</v>
      </c>
      <c r="J238" s="285" t="s">
        <v>597</v>
      </c>
      <c r="K238" s="285" t="s">
        <v>596</v>
      </c>
      <c r="L238" s="285" t="s">
        <v>597</v>
      </c>
      <c r="M238" s="285" t="s">
        <v>596</v>
      </c>
      <c r="N238" s="285" t="s">
        <v>597</v>
      </c>
      <c r="O238" s="202" t="s">
        <v>247</v>
      </c>
    </row>
    <row r="239" spans="1:18">
      <c r="A239" s="306" t="s">
        <v>1021</v>
      </c>
      <c r="B239" s="307">
        <f t="shared" ref="B239:B243" si="35">M229</f>
        <v>22978.689999999995</v>
      </c>
      <c r="C239" s="308">
        <f t="shared" ref="C239:C243" si="36">N229</f>
        <v>100000</v>
      </c>
      <c r="D239" s="211">
        <f t="shared" ref="D239:D243" si="37">O229</f>
        <v>103826.91148305437</v>
      </c>
      <c r="E239" s="307"/>
      <c r="F239" s="309"/>
      <c r="G239" s="307">
        <f>605885.8+65.91</f>
        <v>605951.71000000008</v>
      </c>
      <c r="H239" s="294"/>
      <c r="I239" s="307">
        <v>5705.16</v>
      </c>
      <c r="J239" s="309"/>
      <c r="K239" s="307">
        <v>235000</v>
      </c>
      <c r="L239" s="309">
        <v>100000</v>
      </c>
      <c r="M239" s="307">
        <f>B239+E239-I239-K239+G239</f>
        <v>388225.24000000011</v>
      </c>
      <c r="N239" s="308">
        <f>C239+F239+H239-J239-L239</f>
        <v>0</v>
      </c>
      <c r="O239" s="211">
        <f>M239/6.0045+N239</f>
        <v>64655.714880506304</v>
      </c>
      <c r="R239" s="232">
        <f>O239-D239</f>
        <v>-39171.196602548065</v>
      </c>
    </row>
    <row r="240" spans="1:18">
      <c r="A240" s="293" t="s">
        <v>1029</v>
      </c>
      <c r="B240" s="307">
        <f t="shared" si="35"/>
        <v>30395.600000000035</v>
      </c>
      <c r="C240" s="308">
        <f t="shared" si="36"/>
        <v>1.4700000000011642</v>
      </c>
      <c r="D240" s="211">
        <f t="shared" si="37"/>
        <v>5063.6067307852509</v>
      </c>
      <c r="E240" s="289">
        <v>1.98</v>
      </c>
      <c r="F240" s="294"/>
      <c r="G240" s="289">
        <v>120000</v>
      </c>
      <c r="H240" s="289"/>
      <c r="I240" s="289">
        <v>141786.5</v>
      </c>
      <c r="J240" s="309"/>
      <c r="K240" s="289">
        <v>2000</v>
      </c>
      <c r="L240" s="309"/>
      <c r="M240" s="289">
        <f>B240-K240+E240+G240-I240</f>
        <v>6611.0800000000454</v>
      </c>
      <c r="N240" s="294">
        <f>C240+H240-L240+F240-J240</f>
        <v>1.4700000000011642</v>
      </c>
      <c r="O240" s="211">
        <f>M240/6.0045+N240</f>
        <v>1102.4909009909322</v>
      </c>
      <c r="R240" s="232">
        <f t="shared" ref="R240:R243" si="38">O240-D240</f>
        <v>-3961.1158297943184</v>
      </c>
    </row>
    <row r="241" spans="1:19">
      <c r="A241" s="286" t="s">
        <v>1030</v>
      </c>
      <c r="B241" s="307">
        <f t="shared" si="35"/>
        <v>205.71999999997934</v>
      </c>
      <c r="C241" s="308">
        <f t="shared" si="36"/>
        <v>8268.3099999999977</v>
      </c>
      <c r="D241" s="211">
        <f t="shared" si="37"/>
        <v>8302.5709709384573</v>
      </c>
      <c r="E241" s="307">
        <v>0.19</v>
      </c>
      <c r="F241" s="308">
        <v>1.84</v>
      </c>
      <c r="G241" s="307"/>
      <c r="H241" s="288"/>
      <c r="I241" s="289"/>
      <c r="J241" s="309">
        <f>15.5199999999999-0.52</f>
        <v>14.999999999999901</v>
      </c>
      <c r="K241" s="307"/>
      <c r="L241" s="308">
        <v>8200</v>
      </c>
      <c r="M241" s="307">
        <f>B241+E241+G241-K241-I241</f>
        <v>205.90999999997933</v>
      </c>
      <c r="N241" s="308">
        <f>C241+F241+H241-J241-L241</f>
        <v>55.149999999997817</v>
      </c>
      <c r="O241" s="211">
        <f>M241/6.0045+N241</f>
        <v>89.442613872923005</v>
      </c>
      <c r="R241" s="232">
        <f t="shared" si="38"/>
        <v>-8213.1283570655341</v>
      </c>
      <c r="S241" s="542"/>
    </row>
    <row r="242" spans="1:19">
      <c r="A242" s="293" t="s">
        <v>1022</v>
      </c>
      <c r="B242" s="307">
        <f t="shared" si="35"/>
        <v>0</v>
      </c>
      <c r="C242" s="308">
        <f t="shared" si="36"/>
        <v>118695.67999999999</v>
      </c>
      <c r="D242" s="211">
        <f t="shared" si="37"/>
        <v>118695.67999999999</v>
      </c>
      <c r="E242" s="295"/>
      <c r="F242" s="294">
        <v>4500</v>
      </c>
      <c r="G242" s="289"/>
      <c r="H242" s="294"/>
      <c r="I242" s="295"/>
      <c r="J242" s="294">
        <v>22795</v>
      </c>
      <c r="K242" s="295"/>
      <c r="L242" s="288"/>
      <c r="M242" s="289">
        <v>0</v>
      </c>
      <c r="N242" s="294">
        <f>C242-J242-L242+F242</f>
        <v>100400.68</v>
      </c>
      <c r="O242" s="211">
        <f>N242</f>
        <v>100400.68</v>
      </c>
      <c r="R242" s="232">
        <f t="shared" si="38"/>
        <v>-18295</v>
      </c>
    </row>
    <row r="243" spans="1:19">
      <c r="A243" s="286" t="s">
        <v>1023</v>
      </c>
      <c r="B243" s="307">
        <f t="shared" si="35"/>
        <v>53580.010000000009</v>
      </c>
      <c r="C243" s="308">
        <f t="shared" si="36"/>
        <v>226965.46</v>
      </c>
      <c r="D243" s="211">
        <f t="shared" si="37"/>
        <v>235888.76918477807</v>
      </c>
      <c r="E243" s="290"/>
      <c r="F243" s="290"/>
      <c r="G243" s="290"/>
      <c r="H243" s="290"/>
      <c r="I243" s="290"/>
      <c r="J243" s="290"/>
      <c r="K243" s="290"/>
      <c r="L243" s="290"/>
      <c r="M243" s="287">
        <f>SUM(M239:M242)</f>
        <v>395042.23000000016</v>
      </c>
      <c r="N243" s="288">
        <f>SUM(N239:N242)</f>
        <v>100457.29999999999</v>
      </c>
      <c r="O243" s="211">
        <f>SUM(O239:O242)</f>
        <v>166248.32839537016</v>
      </c>
      <c r="R243" s="233">
        <f t="shared" si="38"/>
        <v>-69640.440789407905</v>
      </c>
    </row>
    <row r="244" spans="1:19">
      <c r="A244" s="297">
        <v>6.0057999999999998</v>
      </c>
    </row>
    <row r="247" spans="1:19">
      <c r="A247" s="200">
        <v>41656</v>
      </c>
      <c r="B247" s="561" t="s">
        <v>245</v>
      </c>
      <c r="C247" s="561"/>
      <c r="D247" s="561"/>
      <c r="E247" s="564" t="s">
        <v>1017</v>
      </c>
      <c r="F247" s="564"/>
      <c r="G247" s="564" t="s">
        <v>1018</v>
      </c>
      <c r="H247" s="564"/>
      <c r="I247" s="564" t="s">
        <v>1019</v>
      </c>
      <c r="J247" s="564"/>
      <c r="K247" s="564" t="s">
        <v>1020</v>
      </c>
      <c r="L247" s="564"/>
      <c r="M247" s="563" t="s">
        <v>1028</v>
      </c>
      <c r="N247" s="563"/>
      <c r="O247" s="563"/>
      <c r="R247" s="234" t="s">
        <v>996</v>
      </c>
    </row>
    <row r="248" spans="1:19">
      <c r="A248" s="202" t="s">
        <v>195</v>
      </c>
      <c r="B248" s="285" t="s">
        <v>596</v>
      </c>
      <c r="C248" s="285" t="s">
        <v>597</v>
      </c>
      <c r="D248" s="202" t="s">
        <v>247</v>
      </c>
      <c r="E248" s="285" t="s">
        <v>596</v>
      </c>
      <c r="F248" s="285" t="s">
        <v>597</v>
      </c>
      <c r="G248" s="285" t="s">
        <v>596</v>
      </c>
      <c r="H248" s="285" t="s">
        <v>597</v>
      </c>
      <c r="I248" s="285" t="s">
        <v>596</v>
      </c>
      <c r="J248" s="285" t="s">
        <v>597</v>
      </c>
      <c r="K248" s="285" t="s">
        <v>596</v>
      </c>
      <c r="L248" s="285" t="s">
        <v>597</v>
      </c>
      <c r="M248" s="285" t="s">
        <v>596</v>
      </c>
      <c r="N248" s="285" t="s">
        <v>597</v>
      </c>
      <c r="O248" s="202" t="s">
        <v>247</v>
      </c>
    </row>
    <row r="249" spans="1:19">
      <c r="A249" s="306" t="s">
        <v>1021</v>
      </c>
      <c r="B249" s="307">
        <f t="shared" ref="B249:B253" si="39">M239</f>
        <v>388225.24000000011</v>
      </c>
      <c r="C249" s="308">
        <f t="shared" ref="C249:C253" si="40">N239</f>
        <v>0</v>
      </c>
      <c r="D249" s="211">
        <f t="shared" ref="D249:D253" si="41">O239</f>
        <v>64655.714880506304</v>
      </c>
      <c r="E249" s="307"/>
      <c r="F249" s="309"/>
      <c r="G249" s="307"/>
      <c r="H249" s="294"/>
      <c r="I249" s="307">
        <v>25440.3</v>
      </c>
      <c r="J249" s="309"/>
      <c r="K249" s="307">
        <v>90000</v>
      </c>
      <c r="L249" s="309"/>
      <c r="M249" s="307">
        <f>B249+E249-I249-K249+G249</f>
        <v>272784.94000000012</v>
      </c>
      <c r="N249" s="308">
        <f>C249+F249+H249-J249-L249</f>
        <v>0</v>
      </c>
      <c r="O249" s="211">
        <f>M249/6.0045+N249</f>
        <v>45430.08410358899</v>
      </c>
      <c r="R249" s="232">
        <f>O249-D249</f>
        <v>-19225.630776917315</v>
      </c>
    </row>
    <row r="250" spans="1:19">
      <c r="A250" s="293" t="s">
        <v>1029</v>
      </c>
      <c r="B250" s="307">
        <f t="shared" si="39"/>
        <v>6611.0800000000454</v>
      </c>
      <c r="C250" s="308">
        <f t="shared" si="40"/>
        <v>1.4700000000011642</v>
      </c>
      <c r="D250" s="211">
        <f t="shared" si="41"/>
        <v>1102.4909009909322</v>
      </c>
      <c r="E250" s="289"/>
      <c r="F250" s="294"/>
      <c r="G250" s="289">
        <v>50000</v>
      </c>
      <c r="H250" s="289"/>
      <c r="I250" s="289">
        <v>15337</v>
      </c>
      <c r="J250" s="309"/>
      <c r="K250" s="289"/>
      <c r="L250" s="309"/>
      <c r="M250" s="289">
        <f>B250-K250+E250+G250-I250</f>
        <v>41274.080000000045</v>
      </c>
      <c r="N250" s="294">
        <f>C250+H250-L250+F250-J250</f>
        <v>1.4700000000011642</v>
      </c>
      <c r="O250" s="211">
        <f>M250/6.0045+N250</f>
        <v>6875.3279398784334</v>
      </c>
      <c r="R250" s="232">
        <f t="shared" ref="R250:R253" si="42">O250-D250</f>
        <v>5772.837038887501</v>
      </c>
    </row>
    <row r="251" spans="1:19">
      <c r="A251" s="286" t="s">
        <v>1030</v>
      </c>
      <c r="B251" s="307">
        <f t="shared" si="39"/>
        <v>205.90999999997933</v>
      </c>
      <c r="C251" s="308">
        <f t="shared" si="40"/>
        <v>55.149999999997817</v>
      </c>
      <c r="D251" s="211">
        <f t="shared" si="41"/>
        <v>89.442613872923005</v>
      </c>
      <c r="E251" s="307"/>
      <c r="F251" s="308"/>
      <c r="G251" s="307"/>
      <c r="H251" s="288"/>
      <c r="I251" s="289"/>
      <c r="J251" s="309"/>
      <c r="K251" s="307"/>
      <c r="L251" s="308"/>
      <c r="M251" s="307">
        <f>B251+E251+G251-K251-I251</f>
        <v>205.90999999997933</v>
      </c>
      <c r="N251" s="308">
        <f>C251-L251+H251</f>
        <v>55.149999999997817</v>
      </c>
      <c r="O251" s="211">
        <f>M251/6.0045+N251</f>
        <v>89.442613872923005</v>
      </c>
      <c r="R251" s="232">
        <f t="shared" si="42"/>
        <v>0</v>
      </c>
    </row>
    <row r="252" spans="1:19">
      <c r="A252" s="293" t="s">
        <v>1022</v>
      </c>
      <c r="B252" s="307">
        <f t="shared" si="39"/>
        <v>0</v>
      </c>
      <c r="C252" s="308">
        <f t="shared" si="40"/>
        <v>100400.68</v>
      </c>
      <c r="D252" s="211">
        <f t="shared" si="41"/>
        <v>100400.68</v>
      </c>
      <c r="E252" s="295"/>
      <c r="F252" s="294"/>
      <c r="G252" s="289"/>
      <c r="H252" s="294"/>
      <c r="I252" s="295"/>
      <c r="J252" s="294"/>
      <c r="K252" s="295"/>
      <c r="L252" s="288">
        <v>5200</v>
      </c>
      <c r="M252" s="289">
        <v>0</v>
      </c>
      <c r="N252" s="294">
        <f>C252-J252-L252+F252</f>
        <v>95200.68</v>
      </c>
      <c r="O252" s="211">
        <f>N252</f>
        <v>95200.68</v>
      </c>
      <c r="R252" s="232">
        <f t="shared" si="42"/>
        <v>-5200</v>
      </c>
    </row>
    <row r="253" spans="1:19">
      <c r="A253" s="286" t="s">
        <v>1023</v>
      </c>
      <c r="B253" s="307">
        <f t="shared" si="39"/>
        <v>395042.23000000016</v>
      </c>
      <c r="C253" s="308">
        <f t="shared" si="40"/>
        <v>100457.29999999999</v>
      </c>
      <c r="D253" s="211">
        <f t="shared" si="41"/>
        <v>166248.32839537016</v>
      </c>
      <c r="E253" s="290"/>
      <c r="F253" s="290"/>
      <c r="G253" s="290"/>
      <c r="H253" s="290"/>
      <c r="I253" s="290"/>
      <c r="J253" s="290"/>
      <c r="K253" s="290"/>
      <c r="L253" s="290"/>
      <c r="M253" s="287">
        <f>SUM(M249:M252)</f>
        <v>314264.93000000011</v>
      </c>
      <c r="N253" s="288">
        <f>SUM(N249:N252)</f>
        <v>95257.299999999988</v>
      </c>
      <c r="O253" s="211">
        <f>SUM(O249:O252)</f>
        <v>147595.53465734035</v>
      </c>
      <c r="R253" s="233">
        <f t="shared" si="42"/>
        <v>-18652.79373802981</v>
      </c>
    </row>
    <row r="254" spans="1:19">
      <c r="A254" s="297">
        <v>6.0057999999999998</v>
      </c>
    </row>
  </sheetData>
  <mergeCells count="150">
    <mergeCell ref="B247:D247"/>
    <mergeCell ref="E247:F247"/>
    <mergeCell ref="G247:H247"/>
    <mergeCell ref="I247:J247"/>
    <mergeCell ref="K247:L247"/>
    <mergeCell ref="M247:O247"/>
    <mergeCell ref="B237:D237"/>
    <mergeCell ref="E237:F237"/>
    <mergeCell ref="G237:H237"/>
    <mergeCell ref="I237:J237"/>
    <mergeCell ref="K237:L237"/>
    <mergeCell ref="M237:O237"/>
    <mergeCell ref="B197:D197"/>
    <mergeCell ref="M197:O197"/>
    <mergeCell ref="B207:D207"/>
    <mergeCell ref="M207:O207"/>
    <mergeCell ref="B217:D217"/>
    <mergeCell ref="M217:O217"/>
    <mergeCell ref="B227:D227"/>
    <mergeCell ref="E227:F227"/>
    <mergeCell ref="G227:H227"/>
    <mergeCell ref="I227:J227"/>
    <mergeCell ref="K227:L227"/>
    <mergeCell ref="M227:O227"/>
    <mergeCell ref="E217:F217"/>
    <mergeCell ref="G217:H217"/>
    <mergeCell ref="I217:J217"/>
    <mergeCell ref="K217:L217"/>
    <mergeCell ref="E207:F207"/>
    <mergeCell ref="G207:H207"/>
    <mergeCell ref="I207:J207"/>
    <mergeCell ref="K207:L207"/>
    <mergeCell ref="E197:F197"/>
    <mergeCell ref="G197:H197"/>
    <mergeCell ref="I197:J197"/>
    <mergeCell ref="K197:L197"/>
    <mergeCell ref="M177:O177"/>
    <mergeCell ref="B187:D187"/>
    <mergeCell ref="M187:O187"/>
    <mergeCell ref="E167:F167"/>
    <mergeCell ref="G167:H167"/>
    <mergeCell ref="I167:J167"/>
    <mergeCell ref="K167:L167"/>
    <mergeCell ref="E157:F157"/>
    <mergeCell ref="G157:H157"/>
    <mergeCell ref="I157:J157"/>
    <mergeCell ref="K157:L157"/>
    <mergeCell ref="B157:D157"/>
    <mergeCell ref="E187:F187"/>
    <mergeCell ref="G187:H187"/>
    <mergeCell ref="I187:J187"/>
    <mergeCell ref="K187:L187"/>
    <mergeCell ref="E177:F177"/>
    <mergeCell ref="G177:H177"/>
    <mergeCell ref="I177:J177"/>
    <mergeCell ref="K177:L177"/>
    <mergeCell ref="B177:D177"/>
    <mergeCell ref="B136:D136"/>
    <mergeCell ref="E136:F136"/>
    <mergeCell ref="G136:H136"/>
    <mergeCell ref="I136:J136"/>
    <mergeCell ref="K136:L136"/>
    <mergeCell ref="M136:O136"/>
    <mergeCell ref="M157:O157"/>
    <mergeCell ref="B167:D167"/>
    <mergeCell ref="M167:O167"/>
    <mergeCell ref="M81:O81"/>
    <mergeCell ref="B91:D91"/>
    <mergeCell ref="E91:F91"/>
    <mergeCell ref="G91:H91"/>
    <mergeCell ref="I91:J91"/>
    <mergeCell ref="K91:L91"/>
    <mergeCell ref="E147:F147"/>
    <mergeCell ref="G147:H147"/>
    <mergeCell ref="I147:J147"/>
    <mergeCell ref="K147:L147"/>
    <mergeCell ref="B147:D147"/>
    <mergeCell ref="M111:O111"/>
    <mergeCell ref="B101:D101"/>
    <mergeCell ref="E101:F101"/>
    <mergeCell ref="G101:H101"/>
    <mergeCell ref="I101:J101"/>
    <mergeCell ref="K101:L101"/>
    <mergeCell ref="M101:O101"/>
    <mergeCell ref="B111:D111"/>
    <mergeCell ref="E111:F111"/>
    <mergeCell ref="G111:H111"/>
    <mergeCell ref="I111:J111"/>
    <mergeCell ref="K111:L111"/>
    <mergeCell ref="M147:O147"/>
    <mergeCell ref="B124:D124"/>
    <mergeCell ref="E124:F124"/>
    <mergeCell ref="G124:H124"/>
    <mergeCell ref="I124:J124"/>
    <mergeCell ref="K124:L124"/>
    <mergeCell ref="M71:O71"/>
    <mergeCell ref="B61:D61"/>
    <mergeCell ref="E61:F61"/>
    <mergeCell ref="G61:H61"/>
    <mergeCell ref="I61:J61"/>
    <mergeCell ref="K61:L61"/>
    <mergeCell ref="M61:O61"/>
    <mergeCell ref="B71:D71"/>
    <mergeCell ref="E71:F71"/>
    <mergeCell ref="G71:H71"/>
    <mergeCell ref="I71:J71"/>
    <mergeCell ref="K71:L71"/>
    <mergeCell ref="M124:O124"/>
    <mergeCell ref="M91:O91"/>
    <mergeCell ref="B81:D81"/>
    <mergeCell ref="E81:F81"/>
    <mergeCell ref="G81:H81"/>
    <mergeCell ref="I81:J81"/>
    <mergeCell ref="K81:L81"/>
    <mergeCell ref="M51:O51"/>
    <mergeCell ref="B41:D41"/>
    <mergeCell ref="E41:F41"/>
    <mergeCell ref="G41:H41"/>
    <mergeCell ref="I41:J41"/>
    <mergeCell ref="K41:L41"/>
    <mergeCell ref="M41:O41"/>
    <mergeCell ref="B51:D51"/>
    <mergeCell ref="E51:F51"/>
    <mergeCell ref="G51:H51"/>
    <mergeCell ref="I51:J51"/>
    <mergeCell ref="K51:L51"/>
    <mergeCell ref="M11:O11"/>
    <mergeCell ref="B1:D1"/>
    <mergeCell ref="E1:F1"/>
    <mergeCell ref="G1:H1"/>
    <mergeCell ref="I1:J1"/>
    <mergeCell ref="K1:L1"/>
    <mergeCell ref="M1:O1"/>
    <mergeCell ref="B11:D11"/>
    <mergeCell ref="E11:F11"/>
    <mergeCell ref="G11:H11"/>
    <mergeCell ref="I11:J11"/>
    <mergeCell ref="K11:L11"/>
    <mergeCell ref="B21:D21"/>
    <mergeCell ref="E21:F21"/>
    <mergeCell ref="G21:H21"/>
    <mergeCell ref="I21:J21"/>
    <mergeCell ref="K21:L21"/>
    <mergeCell ref="M21:O21"/>
    <mergeCell ref="B31:D31"/>
    <mergeCell ref="E31:F31"/>
    <mergeCell ref="G31:H31"/>
    <mergeCell ref="I31:J31"/>
    <mergeCell ref="K31:L31"/>
    <mergeCell ref="M31:O31"/>
  </mergeCells>
  <phoneticPr fontId="51" type="noConversion"/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enableFormatConditionsCalculation="0"/>
  <dimension ref="A1:T22"/>
  <sheetViews>
    <sheetView workbookViewId="0">
      <pane xSplit="2" topLeftCell="C1" activePane="topRight" state="frozen"/>
      <selection pane="topRight" activeCell="L21" sqref="L21"/>
    </sheetView>
  </sheetViews>
  <sheetFormatPr baseColWidth="10" defaultColWidth="8.83203125" defaultRowHeight="12" x14ac:dyDescent="0"/>
  <cols>
    <col min="1" max="1" width="9" style="46" customWidth="1"/>
    <col min="2" max="2" width="34.83203125" style="46" customWidth="1"/>
    <col min="3" max="3" width="0.1640625" style="50" hidden="1" customWidth="1"/>
    <col min="4" max="4" width="12.33203125" style="46" hidden="1" customWidth="1"/>
    <col min="5" max="5" width="12.1640625" style="46" hidden="1" customWidth="1"/>
    <col min="6" max="6" width="12.33203125" style="46" hidden="1" customWidth="1"/>
    <col min="7" max="8" width="17.6640625" style="46" bestFit="1" customWidth="1"/>
    <col min="9" max="14" width="11.6640625" style="46" customWidth="1"/>
    <col min="15" max="15" width="11.6640625" style="46" bestFit="1" customWidth="1"/>
    <col min="16" max="20" width="11.5" style="46" bestFit="1" customWidth="1"/>
    <col min="21" max="16384" width="8.83203125" style="46"/>
  </cols>
  <sheetData>
    <row r="1" spans="1:20" s="60" customFormat="1">
      <c r="C1" s="61">
        <v>2008</v>
      </c>
      <c r="D1" s="61">
        <v>2009</v>
      </c>
      <c r="E1" s="61">
        <v>2010</v>
      </c>
      <c r="F1" s="61">
        <v>2011</v>
      </c>
      <c r="G1" s="62">
        <v>2012</v>
      </c>
      <c r="H1" s="62" t="s">
        <v>285</v>
      </c>
      <c r="I1" s="72" t="s">
        <v>306</v>
      </c>
      <c r="J1" s="72" t="s">
        <v>187</v>
      </c>
      <c r="K1" s="72" t="s">
        <v>178</v>
      </c>
      <c r="L1" s="72" t="s">
        <v>560</v>
      </c>
      <c r="M1" s="72" t="s">
        <v>552</v>
      </c>
      <c r="N1" s="72" t="s">
        <v>411</v>
      </c>
      <c r="O1" s="72" t="s">
        <v>287</v>
      </c>
      <c r="P1" s="72" t="s">
        <v>985</v>
      </c>
      <c r="Q1" s="72" t="s">
        <v>986</v>
      </c>
      <c r="R1" s="72" t="s">
        <v>987</v>
      </c>
      <c r="S1" s="72" t="s">
        <v>976</v>
      </c>
      <c r="T1" s="72" t="s">
        <v>226</v>
      </c>
    </row>
    <row r="2" spans="1:20" ht="47.25" customHeight="1" thickBot="1">
      <c r="A2" s="47" t="s">
        <v>307</v>
      </c>
      <c r="C2" s="63">
        <v>115051.99</v>
      </c>
      <c r="D2" s="63">
        <v>44973.770000000004</v>
      </c>
      <c r="E2" s="63">
        <v>65278.218697314922</v>
      </c>
      <c r="F2" s="63">
        <v>50531.958697314913</v>
      </c>
      <c r="G2" s="64">
        <v>160724.5886973149</v>
      </c>
      <c r="H2" s="64">
        <f>I2</f>
        <v>104097.81540913114</v>
      </c>
      <c r="I2" s="73">
        <f>G9</f>
        <v>104097.81540913114</v>
      </c>
      <c r="J2" s="73">
        <f t="shared" ref="J2:M2" si="0">I9</f>
        <v>83095.485867699128</v>
      </c>
      <c r="K2" s="73">
        <f t="shared" si="0"/>
        <v>335141.87958120205</v>
      </c>
      <c r="L2" s="73">
        <f t="shared" si="0"/>
        <v>300959.70354804432</v>
      </c>
      <c r="M2" s="73">
        <f t="shared" si="0"/>
        <v>273836.64147225837</v>
      </c>
      <c r="N2" s="73">
        <f t="shared" ref="N2" si="1">M9</f>
        <v>255640.37762069199</v>
      </c>
      <c r="O2" s="73">
        <f t="shared" ref="O2:T2" si="2">N9</f>
        <v>227123.07305233181</v>
      </c>
      <c r="P2" s="73">
        <f t="shared" si="2"/>
        <v>209042.8173993387</v>
      </c>
      <c r="Q2" s="73">
        <f t="shared" si="2"/>
        <v>202512.26626104119</v>
      </c>
      <c r="R2" s="73">
        <f t="shared" si="2"/>
        <v>150406.37058648487</v>
      </c>
      <c r="S2" s="73">
        <f t="shared" si="2"/>
        <v>127241.03807145401</v>
      </c>
      <c r="T2" s="73">
        <f t="shared" si="2"/>
        <v>120569.24835041148</v>
      </c>
    </row>
    <row r="3" spans="1:20" ht="24" customHeight="1">
      <c r="B3" s="48" t="s">
        <v>343</v>
      </c>
      <c r="C3" s="65">
        <v>10206</v>
      </c>
      <c r="D3" s="65">
        <v>192815.20457039989</v>
      </c>
      <c r="E3" s="65">
        <v>104368.98</v>
      </c>
      <c r="F3" s="65">
        <v>260214.32</v>
      </c>
      <c r="G3" s="65">
        <v>239411.4680918162</v>
      </c>
      <c r="H3" s="65">
        <f>SUM(I3:T3)</f>
        <v>292275.81833841169</v>
      </c>
      <c r="I3" s="74">
        <f>'7 - Detailed Revenue'!E2</f>
        <v>1609.0104585679808</v>
      </c>
      <c r="J3" s="74">
        <f>SUM('7 - Detailed Revenue'!E3:E6)</f>
        <v>267602.74934197741</v>
      </c>
      <c r="K3" s="74">
        <f>SUM('7 - Detailed Revenue'!E7:E10)</f>
        <v>1683.75045015872</v>
      </c>
      <c r="L3" s="74">
        <f>SUM('7 - Detailed Revenue'!E11:E12)</f>
        <v>1732.8881763000688</v>
      </c>
      <c r="M3" s="74">
        <f>SUM('7 - Detailed Revenue'!E13)</f>
        <v>1652.2098306484922</v>
      </c>
      <c r="N3" s="74">
        <f>SUM('7 - Detailed Revenue'!E14:E16)</f>
        <v>1692.49219330855</v>
      </c>
      <c r="O3" s="74">
        <f>SUM('7 - Detailed Revenue'!E17:E19)</f>
        <v>2398.9356427461739</v>
      </c>
      <c r="P3" s="74">
        <v>1668.99</v>
      </c>
      <c r="Q3" s="74">
        <v>2091.2399999999998</v>
      </c>
      <c r="R3" s="74">
        <v>1665.47</v>
      </c>
      <c r="S3" s="74">
        <f>'7 - Detailed Revenue'!E28+'7 - Detailed Revenue'!E27</f>
        <v>1873.5948038970773</v>
      </c>
      <c r="T3" s="74">
        <f>SUM('7 - Detailed Revenue'!E29:E33)</f>
        <v>6604.4874408072192</v>
      </c>
    </row>
    <row r="4" spans="1:20" ht="21.75" customHeight="1">
      <c r="B4" s="48" t="s">
        <v>308</v>
      </c>
      <c r="C4" s="65">
        <v>-80684.22</v>
      </c>
      <c r="D4" s="65">
        <v>-172510.75587308497</v>
      </c>
      <c r="E4" s="65">
        <v>-118715.24</v>
      </c>
      <c r="F4" s="65">
        <v>-150021.69</v>
      </c>
      <c r="G4" s="65">
        <v>-296038.24137999996</v>
      </c>
      <c r="H4" s="65">
        <f t="shared" ref="H4:H5" si="3">SUM(I4:T4)</f>
        <v>-340566.15307637479</v>
      </c>
      <c r="I4" s="74">
        <f>-'4 - Monthly Pgm Exp'!K5</f>
        <v>-22611.339999999997</v>
      </c>
      <c r="J4" s="74">
        <f>-'4 - Monthly Pgm Exp'!K6</f>
        <v>-15556.355628474492</v>
      </c>
      <c r="K4" s="74">
        <f>-'4 - Monthly Pgm Exp'!K7</f>
        <v>-35865.926483316449</v>
      </c>
      <c r="L4" s="74">
        <f>-'4 - Monthly Pgm Exp'!K8</f>
        <v>-28855.950252086033</v>
      </c>
      <c r="M4" s="74">
        <f>-'4 - Monthly Pgm Exp'!K9</f>
        <v>-19848.473682214881</v>
      </c>
      <c r="N4" s="74">
        <f>-'4 - Monthly Pgm Exp'!K10</f>
        <v>-30209.796761668738</v>
      </c>
      <c r="O4" s="74">
        <f>-'4 - Monthly Pgm Exp'!K11</f>
        <v>-20479.191295739278</v>
      </c>
      <c r="P4" s="74">
        <f>-'4 - Monthly Pgm Exp'!K12</f>
        <v>-8199.5411382975144</v>
      </c>
      <c r="Q4" s="74">
        <f>-'4 - Monthly Pgm Exp'!K13</f>
        <v>-54197.13567455631</v>
      </c>
      <c r="R4" s="74">
        <f>-'4 - Monthly Pgm Exp'!K14</f>
        <v>-24830.802515030868</v>
      </c>
      <c r="S4" s="74">
        <f>-'4 - Monthly Pgm Exp'!K15</f>
        <v>-8545.3845249396109</v>
      </c>
      <c r="T4" s="74">
        <f>-'4 - Monthly Pgm Exp'!K16</f>
        <v>-71366.255120050657</v>
      </c>
    </row>
    <row r="5" spans="1:20" ht="18.75" customHeight="1">
      <c r="B5" s="49" t="s">
        <v>309</v>
      </c>
      <c r="C5" s="65">
        <v>-70478.22</v>
      </c>
      <c r="D5" s="65">
        <v>20304.448697314918</v>
      </c>
      <c r="E5" s="65">
        <v>-14346.260000000009</v>
      </c>
      <c r="F5" s="65">
        <v>110192.63</v>
      </c>
      <c r="G5" s="65">
        <v>-56626.773288183758</v>
      </c>
      <c r="H5" s="65">
        <f t="shared" si="3"/>
        <v>-48290.33473796316</v>
      </c>
      <c r="I5" s="74">
        <f>SUM(I3:I4)</f>
        <v>-21002.329541432016</v>
      </c>
      <c r="J5" s="74">
        <f t="shared" ref="J5:O5" si="4">SUM(J3:J4)</f>
        <v>252046.39371350291</v>
      </c>
      <c r="K5" s="74">
        <f t="shared" si="4"/>
        <v>-34182.176033157732</v>
      </c>
      <c r="L5" s="74">
        <f t="shared" si="4"/>
        <v>-27123.062075785965</v>
      </c>
      <c r="M5" s="74">
        <f t="shared" si="4"/>
        <v>-18196.263851566389</v>
      </c>
      <c r="N5" s="74">
        <f t="shared" si="4"/>
        <v>-28517.304568360189</v>
      </c>
      <c r="O5" s="74">
        <f t="shared" si="4"/>
        <v>-18080.255652993103</v>
      </c>
      <c r="P5" s="74">
        <f t="shared" ref="P5:R5" si="5">SUM(P3:P4)</f>
        <v>-6530.5511382975146</v>
      </c>
      <c r="Q5" s="74">
        <f t="shared" si="5"/>
        <v>-52105.895674556312</v>
      </c>
      <c r="R5" s="74">
        <f t="shared" si="5"/>
        <v>-23165.332515030866</v>
      </c>
      <c r="S5" s="74">
        <f t="shared" ref="S5:T5" si="6">SUM(S3:S4)</f>
        <v>-6671.7897210425335</v>
      </c>
      <c r="T5" s="74">
        <f t="shared" si="6"/>
        <v>-64761.767679243436</v>
      </c>
    </row>
    <row r="6" spans="1:20" ht="18" customHeight="1">
      <c r="B6" s="48" t="s">
        <v>310</v>
      </c>
      <c r="C6" s="65">
        <v>400</v>
      </c>
      <c r="D6" s="65">
        <v>0</v>
      </c>
      <c r="E6" s="65">
        <v>-400</v>
      </c>
      <c r="F6" s="65">
        <v>0</v>
      </c>
      <c r="G6" s="65">
        <v>0</v>
      </c>
      <c r="H6" s="65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74">
        <v>0</v>
      </c>
      <c r="P6" s="74">
        <v>0</v>
      </c>
      <c r="Q6" s="74">
        <v>0</v>
      </c>
      <c r="R6" s="74">
        <v>0</v>
      </c>
      <c r="S6" s="74">
        <v>0</v>
      </c>
      <c r="T6" s="74">
        <v>0</v>
      </c>
    </row>
    <row r="7" spans="1:20" ht="15" thickBot="1">
      <c r="C7" s="66"/>
      <c r="D7" s="67"/>
      <c r="E7" s="66"/>
      <c r="F7" s="66"/>
      <c r="G7" s="68"/>
      <c r="H7" s="68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</row>
    <row r="8" spans="1:20" ht="24" customHeight="1" thickTop="1" thickBot="1">
      <c r="B8" s="46" t="s">
        <v>311</v>
      </c>
      <c r="C8" s="69">
        <v>-70078.22</v>
      </c>
      <c r="D8" s="69">
        <v>20304.448697314918</v>
      </c>
      <c r="E8" s="69">
        <v>-14746.260000000009</v>
      </c>
      <c r="F8" s="69">
        <v>110192.63</v>
      </c>
      <c r="G8" s="69">
        <v>-56626.773288183758</v>
      </c>
      <c r="H8" s="69">
        <f>SUM(I8:T8)</f>
        <v>-48290.33473796316</v>
      </c>
      <c r="I8" s="76">
        <f t="shared" ref="I8:O8" si="7">I5</f>
        <v>-21002.329541432016</v>
      </c>
      <c r="J8" s="76">
        <f t="shared" si="7"/>
        <v>252046.39371350291</v>
      </c>
      <c r="K8" s="76">
        <f t="shared" si="7"/>
        <v>-34182.176033157732</v>
      </c>
      <c r="L8" s="76">
        <f t="shared" si="7"/>
        <v>-27123.062075785965</v>
      </c>
      <c r="M8" s="76">
        <f t="shared" si="7"/>
        <v>-18196.263851566389</v>
      </c>
      <c r="N8" s="76">
        <f t="shared" si="7"/>
        <v>-28517.304568360189</v>
      </c>
      <c r="O8" s="76">
        <f t="shared" si="7"/>
        <v>-18080.255652993103</v>
      </c>
      <c r="P8" s="76">
        <f t="shared" ref="P8:R8" si="8">P5</f>
        <v>-6530.5511382975146</v>
      </c>
      <c r="Q8" s="76">
        <f t="shared" si="8"/>
        <v>-52105.895674556312</v>
      </c>
      <c r="R8" s="76">
        <f t="shared" si="8"/>
        <v>-23165.332515030866</v>
      </c>
      <c r="S8" s="76">
        <f t="shared" ref="S8:T8" si="9">S5</f>
        <v>-6671.7897210425335</v>
      </c>
      <c r="T8" s="76">
        <f t="shared" si="9"/>
        <v>-64761.767679243436</v>
      </c>
    </row>
    <row r="9" spans="1:20" ht="37.5" customHeight="1" thickTop="1" thickBot="1">
      <c r="A9" s="550" t="s">
        <v>350</v>
      </c>
      <c r="B9" s="550"/>
      <c r="C9" s="70">
        <v>44973.770000000004</v>
      </c>
      <c r="D9" s="70">
        <v>65278.218697314922</v>
      </c>
      <c r="E9" s="70">
        <v>50531.958697314913</v>
      </c>
      <c r="F9" s="70">
        <v>160724.5886973149</v>
      </c>
      <c r="G9" s="169">
        <v>104097.81540913114</v>
      </c>
      <c r="H9" s="169">
        <f>H8+H2</f>
        <v>55807.480671167985</v>
      </c>
      <c r="I9" s="77">
        <f>I2+I8</f>
        <v>83095.485867699128</v>
      </c>
      <c r="J9" s="77">
        <f t="shared" ref="J9:O9" si="10">J2+J8</f>
        <v>335141.87958120205</v>
      </c>
      <c r="K9" s="77">
        <f t="shared" si="10"/>
        <v>300959.70354804432</v>
      </c>
      <c r="L9" s="77">
        <f t="shared" si="10"/>
        <v>273836.64147225837</v>
      </c>
      <c r="M9" s="77">
        <f t="shared" si="10"/>
        <v>255640.37762069199</v>
      </c>
      <c r="N9" s="77">
        <f t="shared" si="10"/>
        <v>227123.07305233181</v>
      </c>
      <c r="O9" s="77">
        <f t="shared" si="10"/>
        <v>209042.8173993387</v>
      </c>
      <c r="P9" s="77">
        <f t="shared" ref="P9:R9" si="11">P2+P8</f>
        <v>202512.26626104119</v>
      </c>
      <c r="Q9" s="77">
        <f t="shared" si="11"/>
        <v>150406.37058648487</v>
      </c>
      <c r="R9" s="77">
        <f t="shared" si="11"/>
        <v>127241.03807145401</v>
      </c>
      <c r="S9" s="77">
        <f t="shared" ref="S9:T9" si="12">S2+S8</f>
        <v>120569.24835041148</v>
      </c>
      <c r="T9" s="77">
        <f t="shared" si="12"/>
        <v>55807.480671168043</v>
      </c>
    </row>
    <row r="10" spans="1:20" s="51" customFormat="1">
      <c r="B10" s="52" t="s">
        <v>305</v>
      </c>
      <c r="C10" s="53"/>
      <c r="G10" s="54"/>
      <c r="H10" s="54"/>
      <c r="I10" s="54">
        <v>6.2149999999999999</v>
      </c>
      <c r="J10" s="54">
        <v>6.2778999999999998</v>
      </c>
      <c r="K10" s="54">
        <v>6.2689000000000004</v>
      </c>
      <c r="L10" s="54">
        <v>6.2439</v>
      </c>
      <c r="M10" s="54">
        <v>6.1185999999999998</v>
      </c>
      <c r="N10" s="54">
        <v>6.0525000000000002</v>
      </c>
      <c r="O10" s="54">
        <v>6.0506000000000002</v>
      </c>
      <c r="P10" s="51">
        <v>6.0406000000000004</v>
      </c>
    </row>
    <row r="16" spans="1:20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5" customHeight="1"/>
  </sheetData>
  <mergeCells count="1">
    <mergeCell ref="A9:B9"/>
  </mergeCells>
  <phoneticPr fontId="41" type="noConversion"/>
  <pageMargins left="0.69861111111111107" right="0.69861111111111107" top="0.75" bottom="0.75" header="0.3" footer="0.3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12" sqref="A12"/>
    </sheetView>
  </sheetViews>
  <sheetFormatPr baseColWidth="10" defaultColWidth="10.83203125" defaultRowHeight="13" x14ac:dyDescent="0"/>
  <cols>
    <col min="1" max="1" width="52.6640625" style="13" bestFit="1" customWidth="1"/>
    <col min="2" max="2" width="13.33203125" style="55" bestFit="1" customWidth="1"/>
    <col min="3" max="3" width="12.6640625" style="55" bestFit="1" customWidth="1"/>
    <col min="4" max="4" width="25.6640625" style="236" bestFit="1" customWidth="1"/>
    <col min="5" max="16384" width="10.83203125" style="13"/>
  </cols>
  <sheetData>
    <row r="1" spans="1:4">
      <c r="D1" s="236" t="s">
        <v>1194</v>
      </c>
    </row>
    <row r="2" spans="1:4">
      <c r="A2" s="13" t="s">
        <v>1000</v>
      </c>
      <c r="B2" s="55">
        <f>'1 - Cashflow'!H3</f>
        <v>292275.81905281369</v>
      </c>
      <c r="C2" s="55">
        <f>SUM('7 - Detailed Revenue'!E:E)</f>
        <v>292275.81905281369</v>
      </c>
      <c r="D2" s="236">
        <f>B2-C2</f>
        <v>0</v>
      </c>
    </row>
    <row r="3" spans="1:4">
      <c r="A3" s="13" t="s">
        <v>999</v>
      </c>
      <c r="B3" s="55">
        <f>-'1 - Cashflow'!H4</f>
        <v>340566.15307637479</v>
      </c>
      <c r="C3" s="55">
        <f>'8 - Detailed Expenses'!E663</f>
        <v>340566.15307637519</v>
      </c>
      <c r="D3" s="236">
        <f>B3-C3</f>
        <v>0</v>
      </c>
    </row>
    <row r="4" spans="1:4">
      <c r="A4" s="13" t="s">
        <v>997</v>
      </c>
      <c r="B4" s="55">
        <f>'1 - Cashflow'!H11</f>
        <v>173411.04200857639</v>
      </c>
      <c r="C4" s="55">
        <f>'2a - Balance'!D10</f>
        <v>173411.03581911395</v>
      </c>
      <c r="D4" s="236">
        <f>B4-C4</f>
        <v>6.1894624377600849E-3</v>
      </c>
    </row>
    <row r="5" spans="1:4">
      <c r="A5" s="13" t="s">
        <v>998</v>
      </c>
      <c r="B5" s="55">
        <f>'2a - Balance'!D10</f>
        <v>173411.03581911395</v>
      </c>
      <c r="C5" s="55">
        <f>'2a - Balance'!D29</f>
        <v>173411.03581911395</v>
      </c>
      <c r="D5" s="236">
        <f>B5-C5</f>
        <v>0</v>
      </c>
    </row>
    <row r="6" spans="1:4">
      <c r="A6" s="13" t="s">
        <v>1193</v>
      </c>
      <c r="B6" s="473">
        <f>'0 - 990-pg1'!E17</f>
        <v>-64192.523501207383</v>
      </c>
      <c r="C6" s="473">
        <f>'2a - Balance'!D28</f>
        <v>-64192.523501207368</v>
      </c>
      <c r="D6" s="236">
        <f>B6-C6</f>
        <v>0</v>
      </c>
    </row>
  </sheetData>
  <phoneticPr fontId="5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O658"/>
  <sheetViews>
    <sheetView zoomScale="125" zoomScaleNormal="125" zoomScalePageLayoutView="125" workbookViewId="0">
      <pane ySplit="1" topLeftCell="A2" activePane="bottomLeft" state="frozen"/>
      <selection pane="bottomLeft"/>
    </sheetView>
  </sheetViews>
  <sheetFormatPr baseColWidth="10" defaultColWidth="9" defaultRowHeight="14" x14ac:dyDescent="0"/>
  <cols>
    <col min="1" max="1" width="9" style="218"/>
    <col min="2" max="2" width="9" style="88"/>
    <col min="3" max="3" width="29" style="88" customWidth="1"/>
    <col min="4" max="4" width="8" style="89" hidden="1" customWidth="1"/>
    <col min="5" max="5" width="10.5" style="255" customWidth="1"/>
    <col min="6" max="6" width="26" style="88" hidden="1" customWidth="1"/>
    <col min="7" max="7" width="41.83203125" style="88" customWidth="1"/>
    <col min="8" max="8" width="47.1640625" style="277" bestFit="1" customWidth="1"/>
    <col min="9" max="9" width="12.6640625" style="90" hidden="1" customWidth="1"/>
    <col min="10" max="10" width="12.1640625" style="88" hidden="1" customWidth="1"/>
    <col min="11" max="11" width="29.5" style="277" customWidth="1"/>
    <col min="12" max="12" width="9.5" style="470" bestFit="1" customWidth="1"/>
    <col min="13" max="16384" width="9" style="88"/>
  </cols>
  <sheetData>
    <row r="1" spans="1:14">
      <c r="A1" s="253" t="s">
        <v>502</v>
      </c>
      <c r="B1" s="254" t="s">
        <v>503</v>
      </c>
      <c r="C1" s="254" t="s">
        <v>504</v>
      </c>
      <c r="D1" s="254" t="s">
        <v>596</v>
      </c>
      <c r="E1" s="255" t="s">
        <v>597</v>
      </c>
      <c r="F1" s="254" t="s">
        <v>505</v>
      </c>
      <c r="G1" s="254" t="s">
        <v>399</v>
      </c>
      <c r="H1" s="273" t="s">
        <v>400</v>
      </c>
      <c r="I1" s="376" t="s">
        <v>401</v>
      </c>
      <c r="J1" s="270" t="s">
        <v>104</v>
      </c>
      <c r="K1" s="273" t="s">
        <v>1068</v>
      </c>
      <c r="M1" s="87"/>
      <c r="N1" s="87"/>
    </row>
    <row r="2" spans="1:14">
      <c r="A2" s="219">
        <v>3448</v>
      </c>
      <c r="B2" s="106">
        <v>41306</v>
      </c>
      <c r="C2" s="92" t="s">
        <v>512</v>
      </c>
      <c r="D2" s="105">
        <v>1988.32</v>
      </c>
      <c r="E2" s="413">
        <f>D2/'12 - Equity Statement'!$J$10</f>
        <v>316.71737364405294</v>
      </c>
      <c r="F2" s="92" t="s">
        <v>409</v>
      </c>
      <c r="G2" s="91" t="s">
        <v>52</v>
      </c>
      <c r="H2" s="356" t="s">
        <v>119</v>
      </c>
      <c r="I2" s="91" t="s">
        <v>1109</v>
      </c>
      <c r="J2" s="92" t="s">
        <v>292</v>
      </c>
      <c r="K2" s="355"/>
      <c r="L2" s="416"/>
    </row>
    <row r="3" spans="1:14" ht="15">
      <c r="A3" s="219">
        <v>3486</v>
      </c>
      <c r="B3" s="106">
        <v>41306</v>
      </c>
      <c r="C3" s="92" t="s">
        <v>649</v>
      </c>
      <c r="D3" s="423"/>
      <c r="E3" s="413">
        <v>200</v>
      </c>
      <c r="F3" s="92" t="s">
        <v>185</v>
      </c>
      <c r="G3" s="92" t="s">
        <v>113</v>
      </c>
      <c r="H3" s="408" t="s">
        <v>123</v>
      </c>
      <c r="I3" s="91" t="s">
        <v>1110</v>
      </c>
      <c r="J3" s="92" t="s">
        <v>102</v>
      </c>
      <c r="K3" s="355"/>
      <c r="L3" s="416"/>
    </row>
    <row r="4" spans="1:14">
      <c r="A4" s="219">
        <v>3428</v>
      </c>
      <c r="B4" s="106">
        <v>41309</v>
      </c>
      <c r="C4" s="92" t="s">
        <v>513</v>
      </c>
      <c r="D4" s="105">
        <v>40</v>
      </c>
      <c r="E4" s="413">
        <f>D4/'12 - Equity Statement'!$J$10</f>
        <v>6.3715573679096513</v>
      </c>
      <c r="F4" s="92" t="s">
        <v>403</v>
      </c>
      <c r="G4" s="91" t="s">
        <v>114</v>
      </c>
      <c r="H4" s="355" t="s">
        <v>1071</v>
      </c>
      <c r="I4" s="91" t="s">
        <v>1110</v>
      </c>
      <c r="J4" s="92" t="s">
        <v>188</v>
      </c>
      <c r="K4" s="356" t="s">
        <v>34</v>
      </c>
      <c r="L4" s="416"/>
    </row>
    <row r="5" spans="1:14" ht="15">
      <c r="A5" s="219">
        <v>3381</v>
      </c>
      <c r="B5" s="106">
        <v>41310</v>
      </c>
      <c r="C5" s="92" t="s">
        <v>514</v>
      </c>
      <c r="D5" s="423"/>
      <c r="E5" s="413">
        <v>1250</v>
      </c>
      <c r="F5" s="92" t="s">
        <v>515</v>
      </c>
      <c r="G5" s="92" t="s">
        <v>109</v>
      </c>
      <c r="H5" s="355" t="s">
        <v>1072</v>
      </c>
      <c r="I5" s="91" t="s">
        <v>1110</v>
      </c>
      <c r="J5" s="92" t="s">
        <v>188</v>
      </c>
      <c r="K5" s="355"/>
      <c r="L5" s="416"/>
    </row>
    <row r="6" spans="1:14">
      <c r="A6" s="219">
        <v>3429</v>
      </c>
      <c r="B6" s="106">
        <v>41311</v>
      </c>
      <c r="C6" s="92" t="s">
        <v>413</v>
      </c>
      <c r="D6" s="105">
        <v>557.77</v>
      </c>
      <c r="E6" s="413">
        <f>D6/'12 - Equity Statement'!$J$10</f>
        <v>88.84658882747415</v>
      </c>
      <c r="F6" s="92" t="s">
        <v>302</v>
      </c>
      <c r="G6" s="91" t="s">
        <v>114</v>
      </c>
      <c r="H6" s="355" t="s">
        <v>118</v>
      </c>
      <c r="I6" s="91" t="s">
        <v>1110</v>
      </c>
      <c r="J6" s="92" t="s">
        <v>101</v>
      </c>
      <c r="K6" s="355" t="s">
        <v>23</v>
      </c>
      <c r="L6" s="416"/>
    </row>
    <row r="7" spans="1:14">
      <c r="A7" s="219">
        <v>3430</v>
      </c>
      <c r="B7" s="106">
        <v>41313</v>
      </c>
      <c r="C7" s="92" t="s">
        <v>414</v>
      </c>
      <c r="D7" s="105">
        <v>16</v>
      </c>
      <c r="E7" s="413">
        <f>D7/'12 - Equity Statement'!$J$10</f>
        <v>2.5486229471638606</v>
      </c>
      <c r="F7" s="92" t="s">
        <v>403</v>
      </c>
      <c r="G7" s="91" t="s">
        <v>114</v>
      </c>
      <c r="H7" s="355" t="s">
        <v>1071</v>
      </c>
      <c r="I7" s="91" t="s">
        <v>1110</v>
      </c>
      <c r="J7" s="92" t="s">
        <v>188</v>
      </c>
      <c r="K7" s="356" t="s">
        <v>29</v>
      </c>
      <c r="L7" s="416"/>
    </row>
    <row r="8" spans="1:14">
      <c r="A8" s="219">
        <v>3434</v>
      </c>
      <c r="B8" s="106">
        <v>41313</v>
      </c>
      <c r="C8" s="92" t="s">
        <v>513</v>
      </c>
      <c r="D8" s="105">
        <v>40</v>
      </c>
      <c r="E8" s="413">
        <f>D8/'12 - Equity Statement'!$J$10</f>
        <v>6.3715573679096513</v>
      </c>
      <c r="F8" s="92" t="s">
        <v>403</v>
      </c>
      <c r="G8" s="91" t="s">
        <v>114</v>
      </c>
      <c r="H8" s="355" t="s">
        <v>1071</v>
      </c>
      <c r="I8" s="91" t="s">
        <v>1110</v>
      </c>
      <c r="J8" s="92" t="s">
        <v>188</v>
      </c>
      <c r="K8" s="356" t="s">
        <v>34</v>
      </c>
      <c r="L8" s="416"/>
    </row>
    <row r="9" spans="1:14">
      <c r="A9" s="219">
        <v>3433</v>
      </c>
      <c r="B9" s="106">
        <v>41313</v>
      </c>
      <c r="C9" s="92" t="s">
        <v>1151</v>
      </c>
      <c r="D9" s="105">
        <v>1800</v>
      </c>
      <c r="E9" s="413">
        <f>D9/'12 - Equity Statement'!$J$10</f>
        <v>286.72008155593431</v>
      </c>
      <c r="F9" s="92" t="s">
        <v>601</v>
      </c>
      <c r="G9" s="92" t="s">
        <v>111</v>
      </c>
      <c r="H9" s="356" t="s">
        <v>119</v>
      </c>
      <c r="I9" s="91" t="s">
        <v>1110</v>
      </c>
      <c r="J9" s="92" t="s">
        <v>188</v>
      </c>
      <c r="K9" s="355"/>
      <c r="L9" s="416"/>
    </row>
    <row r="10" spans="1:14">
      <c r="A10" s="219">
        <v>3431</v>
      </c>
      <c r="B10" s="106">
        <v>41313</v>
      </c>
      <c r="C10" s="91" t="s">
        <v>1164</v>
      </c>
      <c r="D10" s="105">
        <v>1000</v>
      </c>
      <c r="E10" s="413">
        <f>D10/'12 - Equity Statement'!$J$10</f>
        <v>159.2889341977413</v>
      </c>
      <c r="F10" s="92" t="s">
        <v>608</v>
      </c>
      <c r="G10" s="92" t="s">
        <v>111</v>
      </c>
      <c r="H10" s="356" t="s">
        <v>119</v>
      </c>
      <c r="I10" s="91" t="s">
        <v>1110</v>
      </c>
      <c r="J10" s="92" t="s">
        <v>101</v>
      </c>
      <c r="K10" s="355"/>
      <c r="L10" s="416"/>
    </row>
    <row r="11" spans="1:14">
      <c r="A11" s="219">
        <v>3432</v>
      </c>
      <c r="B11" s="106">
        <v>41313</v>
      </c>
      <c r="C11" s="92" t="s">
        <v>415</v>
      </c>
      <c r="D11" s="105">
        <v>4620</v>
      </c>
      <c r="E11" s="413">
        <f>D11/'12 - Equity Statement'!$J$10</f>
        <v>735.91487599356469</v>
      </c>
      <c r="F11" s="92" t="s">
        <v>416</v>
      </c>
      <c r="G11" s="92" t="s">
        <v>111</v>
      </c>
      <c r="H11" s="355" t="s">
        <v>118</v>
      </c>
      <c r="I11" s="91" t="s">
        <v>1110</v>
      </c>
      <c r="J11" s="92" t="s">
        <v>101</v>
      </c>
      <c r="K11" s="355" t="s">
        <v>23</v>
      </c>
      <c r="L11" s="416"/>
    </row>
    <row r="12" spans="1:14">
      <c r="A12" s="219">
        <v>3449</v>
      </c>
      <c r="B12" s="106">
        <v>41314</v>
      </c>
      <c r="C12" s="92" t="s">
        <v>301</v>
      </c>
      <c r="D12" s="105">
        <v>376.84</v>
      </c>
      <c r="E12" s="413">
        <f>D12/'12 - Equity Statement'!$J$10</f>
        <v>60.02644196307682</v>
      </c>
      <c r="F12" s="92" t="s">
        <v>420</v>
      </c>
      <c r="G12" s="91" t="s">
        <v>114</v>
      </c>
      <c r="H12" s="355" t="s">
        <v>118</v>
      </c>
      <c r="I12" s="91" t="s">
        <v>1109</v>
      </c>
      <c r="J12" s="92" t="s">
        <v>292</v>
      </c>
      <c r="K12" s="355" t="s">
        <v>23</v>
      </c>
      <c r="L12" s="416"/>
    </row>
    <row r="13" spans="1:14">
      <c r="A13" s="219">
        <v>3450</v>
      </c>
      <c r="B13" s="106">
        <v>41314</v>
      </c>
      <c r="C13" s="92" t="s">
        <v>186</v>
      </c>
      <c r="D13" s="105">
        <v>173.6</v>
      </c>
      <c r="E13" s="413">
        <f>D13/'12 - Equity Statement'!$J$10</f>
        <v>27.652558976727885</v>
      </c>
      <c r="F13" s="92" t="s">
        <v>302</v>
      </c>
      <c r="G13" s="91" t="s">
        <v>114</v>
      </c>
      <c r="H13" s="355" t="s">
        <v>1071</v>
      </c>
      <c r="I13" s="91" t="s">
        <v>1109</v>
      </c>
      <c r="J13" s="92" t="s">
        <v>292</v>
      </c>
      <c r="K13" s="356" t="s">
        <v>29</v>
      </c>
      <c r="L13" s="416"/>
    </row>
    <row r="14" spans="1:14">
      <c r="A14" s="219">
        <v>3451</v>
      </c>
      <c r="B14" s="106">
        <v>41322</v>
      </c>
      <c r="C14" s="92" t="s">
        <v>421</v>
      </c>
      <c r="D14" s="105">
        <v>480</v>
      </c>
      <c r="E14" s="413">
        <f>D14/'12 - Equity Statement'!$J$10</f>
        <v>76.458688414915812</v>
      </c>
      <c r="F14" s="92" t="s">
        <v>409</v>
      </c>
      <c r="G14" s="91" t="s">
        <v>52</v>
      </c>
      <c r="H14" s="356" t="s">
        <v>119</v>
      </c>
      <c r="I14" s="91" t="s">
        <v>1109</v>
      </c>
      <c r="J14" s="92" t="s">
        <v>292</v>
      </c>
      <c r="K14" s="355"/>
      <c r="L14" s="416"/>
    </row>
    <row r="15" spans="1:14">
      <c r="A15" s="219">
        <v>3452</v>
      </c>
      <c r="B15" s="106">
        <v>41322</v>
      </c>
      <c r="C15" s="92" t="s">
        <v>422</v>
      </c>
      <c r="D15" s="105">
        <v>480</v>
      </c>
      <c r="E15" s="413">
        <f>D15/'12 - Equity Statement'!$J$10</f>
        <v>76.458688414915812</v>
      </c>
      <c r="F15" s="92" t="s">
        <v>409</v>
      </c>
      <c r="G15" s="91" t="s">
        <v>52</v>
      </c>
      <c r="H15" s="355" t="s">
        <v>1071</v>
      </c>
      <c r="I15" s="91" t="s">
        <v>1109</v>
      </c>
      <c r="J15" s="92" t="s">
        <v>292</v>
      </c>
      <c r="K15" s="356" t="s">
        <v>29</v>
      </c>
      <c r="L15" s="416"/>
    </row>
    <row r="16" spans="1:14">
      <c r="A16" s="219">
        <v>3453</v>
      </c>
      <c r="B16" s="106">
        <v>41323</v>
      </c>
      <c r="C16" s="92" t="s">
        <v>423</v>
      </c>
      <c r="D16" s="105">
        <v>955.68</v>
      </c>
      <c r="E16" s="413">
        <f>D16/'12 - Equity Statement'!$J$10</f>
        <v>152.22924863409739</v>
      </c>
      <c r="F16" s="92" t="s">
        <v>303</v>
      </c>
      <c r="G16" s="91" t="s">
        <v>116</v>
      </c>
      <c r="H16" s="356" t="s">
        <v>119</v>
      </c>
      <c r="I16" s="91" t="s">
        <v>1109</v>
      </c>
      <c r="J16" s="92" t="s">
        <v>292</v>
      </c>
      <c r="K16" s="355"/>
      <c r="L16" s="416"/>
    </row>
    <row r="17" spans="1:12">
      <c r="A17" s="219">
        <v>3414</v>
      </c>
      <c r="B17" s="106">
        <v>41324</v>
      </c>
      <c r="C17" s="92" t="s">
        <v>513</v>
      </c>
      <c r="D17" s="105">
        <v>40</v>
      </c>
      <c r="E17" s="413">
        <f>D17/'12 - Equity Statement'!$J$10</f>
        <v>6.3715573679096513</v>
      </c>
      <c r="F17" s="92" t="s">
        <v>403</v>
      </c>
      <c r="G17" s="91" t="s">
        <v>114</v>
      </c>
      <c r="H17" s="355" t="s">
        <v>1071</v>
      </c>
      <c r="I17" s="91" t="s">
        <v>1110</v>
      </c>
      <c r="J17" s="92" t="s">
        <v>188</v>
      </c>
      <c r="K17" s="356" t="s">
        <v>34</v>
      </c>
      <c r="L17" s="416"/>
    </row>
    <row r="18" spans="1:12">
      <c r="A18" s="219">
        <v>3436</v>
      </c>
      <c r="B18" s="106">
        <v>41327</v>
      </c>
      <c r="C18" s="92" t="s">
        <v>321</v>
      </c>
      <c r="D18" s="105">
        <v>22</v>
      </c>
      <c r="E18" s="413">
        <f>D18/'12 - Equity Statement'!$J$10</f>
        <v>3.5043565523503082</v>
      </c>
      <c r="F18" s="92" t="s">
        <v>510</v>
      </c>
      <c r="G18" s="91" t="s">
        <v>132</v>
      </c>
      <c r="H18" s="355" t="s">
        <v>1071</v>
      </c>
      <c r="I18" s="91" t="s">
        <v>1110</v>
      </c>
      <c r="J18" s="92" t="s">
        <v>188</v>
      </c>
      <c r="K18" s="356" t="s">
        <v>29</v>
      </c>
      <c r="L18" s="416"/>
    </row>
    <row r="19" spans="1:12">
      <c r="A19" s="219">
        <v>3438</v>
      </c>
      <c r="B19" s="106">
        <v>41328</v>
      </c>
      <c r="C19" s="92" t="s">
        <v>438</v>
      </c>
      <c r="D19" s="105">
        <v>200</v>
      </c>
      <c r="E19" s="413">
        <f>D19/'12 - Equity Statement'!$J$10</f>
        <v>31.857786839548258</v>
      </c>
      <c r="F19" s="92" t="s">
        <v>403</v>
      </c>
      <c r="G19" s="92" t="s">
        <v>106</v>
      </c>
      <c r="H19" s="355" t="s">
        <v>118</v>
      </c>
      <c r="I19" s="91" t="s">
        <v>1110</v>
      </c>
      <c r="J19" s="92" t="s">
        <v>188</v>
      </c>
      <c r="K19" s="355" t="s">
        <v>23</v>
      </c>
      <c r="L19" s="416"/>
    </row>
    <row r="20" spans="1:12">
      <c r="A20" s="219">
        <v>3437</v>
      </c>
      <c r="B20" s="106">
        <v>41328</v>
      </c>
      <c r="C20" s="92" t="s">
        <v>437</v>
      </c>
      <c r="D20" s="105">
        <v>50</v>
      </c>
      <c r="E20" s="413">
        <f>D20/'12 - Equity Statement'!$J$10</f>
        <v>7.9644467098870644</v>
      </c>
      <c r="F20" s="92" t="s">
        <v>403</v>
      </c>
      <c r="G20" s="92" t="s">
        <v>106</v>
      </c>
      <c r="H20" s="355" t="s">
        <v>118</v>
      </c>
      <c r="I20" s="91" t="s">
        <v>1110</v>
      </c>
      <c r="J20" s="92" t="s">
        <v>188</v>
      </c>
      <c r="K20" s="355" t="s">
        <v>26</v>
      </c>
      <c r="L20" s="416"/>
    </row>
    <row r="21" spans="1:12">
      <c r="A21" s="219">
        <v>3439</v>
      </c>
      <c r="B21" s="106">
        <v>41330</v>
      </c>
      <c r="C21" s="92" t="s">
        <v>439</v>
      </c>
      <c r="D21" s="105">
        <v>1000</v>
      </c>
      <c r="E21" s="413">
        <f>D21/'12 - Equity Statement'!$J$10</f>
        <v>159.2889341977413</v>
      </c>
      <c r="F21" s="92" t="s">
        <v>440</v>
      </c>
      <c r="G21" s="91" t="s">
        <v>114</v>
      </c>
      <c r="H21" s="355" t="s">
        <v>1071</v>
      </c>
      <c r="I21" s="91" t="s">
        <v>1110</v>
      </c>
      <c r="J21" s="92" t="s">
        <v>188</v>
      </c>
      <c r="K21" s="356" t="s">
        <v>29</v>
      </c>
      <c r="L21" s="416"/>
    </row>
    <row r="22" spans="1:12">
      <c r="A22" s="219">
        <v>3441</v>
      </c>
      <c r="B22" s="106">
        <v>41333</v>
      </c>
      <c r="C22" s="92" t="s">
        <v>442</v>
      </c>
      <c r="D22" s="105">
        <v>7500</v>
      </c>
      <c r="E22" s="413">
        <f>D22/'12 - Equity Statement'!$J$10</f>
        <v>1194.6670064830596</v>
      </c>
      <c r="F22" s="92" t="s">
        <v>509</v>
      </c>
      <c r="G22" s="91" t="s">
        <v>51</v>
      </c>
      <c r="H22" s="355" t="s">
        <v>118</v>
      </c>
      <c r="I22" s="91" t="s">
        <v>1109</v>
      </c>
      <c r="J22" s="92" t="s">
        <v>188</v>
      </c>
      <c r="K22" s="355" t="s">
        <v>24</v>
      </c>
      <c r="L22" s="416"/>
    </row>
    <row r="23" spans="1:12">
      <c r="A23" s="219">
        <v>3440</v>
      </c>
      <c r="B23" s="106">
        <v>41333</v>
      </c>
      <c r="C23" s="92" t="s">
        <v>441</v>
      </c>
      <c r="D23" s="105">
        <v>10000</v>
      </c>
      <c r="E23" s="413">
        <f>D23/'12 - Equity Statement'!$J$10</f>
        <v>1592.8893419774129</v>
      </c>
      <c r="F23" s="92" t="s">
        <v>511</v>
      </c>
      <c r="G23" s="91" t="s">
        <v>51</v>
      </c>
      <c r="H23" s="355" t="s">
        <v>1071</v>
      </c>
      <c r="I23" s="91" t="s">
        <v>1109</v>
      </c>
      <c r="J23" s="91" t="s">
        <v>175</v>
      </c>
      <c r="K23" s="355" t="s">
        <v>29</v>
      </c>
      <c r="L23" s="416"/>
    </row>
    <row r="24" spans="1:12">
      <c r="A24" s="219">
        <v>3444</v>
      </c>
      <c r="B24" s="106">
        <v>41333</v>
      </c>
      <c r="C24" s="92" t="s">
        <v>547</v>
      </c>
      <c r="D24" s="105">
        <v>4000</v>
      </c>
      <c r="E24" s="413">
        <f>D24/'12 - Equity Statement'!$J$10</f>
        <v>637.15573679096519</v>
      </c>
      <c r="F24" s="92" t="s">
        <v>603</v>
      </c>
      <c r="G24" s="91" t="s">
        <v>20</v>
      </c>
      <c r="H24" s="356" t="s">
        <v>119</v>
      </c>
      <c r="I24" s="91" t="s">
        <v>1110</v>
      </c>
      <c r="J24" s="92" t="s">
        <v>188</v>
      </c>
      <c r="K24" s="355"/>
      <c r="L24" s="416"/>
    </row>
    <row r="25" spans="1:12">
      <c r="A25" s="219">
        <v>3442</v>
      </c>
      <c r="B25" s="106">
        <v>41333</v>
      </c>
      <c r="C25" s="92" t="s">
        <v>443</v>
      </c>
      <c r="D25" s="105">
        <v>4200</v>
      </c>
      <c r="E25" s="413">
        <f>D25/'12 - Equity Statement'!$J$10</f>
        <v>669.01352363051342</v>
      </c>
      <c r="F25" s="92" t="s">
        <v>510</v>
      </c>
      <c r="G25" s="91" t="s">
        <v>53</v>
      </c>
      <c r="H25" s="355" t="s">
        <v>1071</v>
      </c>
      <c r="I25" s="91" t="s">
        <v>1109</v>
      </c>
      <c r="J25" s="92" t="s">
        <v>188</v>
      </c>
      <c r="K25" s="356" t="s">
        <v>34</v>
      </c>
      <c r="L25" s="416"/>
    </row>
    <row r="26" spans="1:12">
      <c r="A26" s="219">
        <v>3454</v>
      </c>
      <c r="B26" s="106">
        <v>41333</v>
      </c>
      <c r="C26" s="92" t="s">
        <v>780</v>
      </c>
      <c r="D26" s="105">
        <v>1018.08</v>
      </c>
      <c r="E26" s="413">
        <f>D26/'12 - Equity Statement'!$J$10</f>
        <v>162.16887812803645</v>
      </c>
      <c r="F26" s="92" t="s">
        <v>409</v>
      </c>
      <c r="G26" s="91" t="s">
        <v>52</v>
      </c>
      <c r="H26" s="356" t="s">
        <v>119</v>
      </c>
      <c r="I26" s="91" t="s">
        <v>1109</v>
      </c>
      <c r="J26" s="92" t="s">
        <v>292</v>
      </c>
      <c r="K26" s="355"/>
      <c r="L26" s="416"/>
    </row>
    <row r="27" spans="1:12">
      <c r="A27" s="219">
        <v>3443</v>
      </c>
      <c r="B27" s="106">
        <v>41333</v>
      </c>
      <c r="C27" s="92" t="s">
        <v>1119</v>
      </c>
      <c r="D27" s="105">
        <v>10000</v>
      </c>
      <c r="E27" s="413">
        <f>D27/'12 - Equity Statement'!$J$10</f>
        <v>1592.8893419774129</v>
      </c>
      <c r="F27" s="92" t="s">
        <v>304</v>
      </c>
      <c r="G27" s="91" t="s">
        <v>108</v>
      </c>
      <c r="H27" s="355" t="s">
        <v>1071</v>
      </c>
      <c r="I27" s="91" t="s">
        <v>1110</v>
      </c>
      <c r="J27" s="92" t="s">
        <v>188</v>
      </c>
      <c r="K27" s="356" t="s">
        <v>30</v>
      </c>
      <c r="L27" s="416"/>
    </row>
    <row r="28" spans="1:12">
      <c r="A28" s="219">
        <v>3446</v>
      </c>
      <c r="B28" s="106">
        <v>41333</v>
      </c>
      <c r="C28" s="92" t="s">
        <v>1130</v>
      </c>
      <c r="D28" s="105">
        <v>6000</v>
      </c>
      <c r="E28" s="413">
        <f>D28/'12 - Equity Statement'!$J$10</f>
        <v>955.73360518644768</v>
      </c>
      <c r="F28" s="92" t="s">
        <v>404</v>
      </c>
      <c r="G28" s="91" t="s">
        <v>108</v>
      </c>
      <c r="H28" s="355" t="s">
        <v>118</v>
      </c>
      <c r="I28" s="91" t="s">
        <v>1110</v>
      </c>
      <c r="J28" s="92" t="s">
        <v>188</v>
      </c>
      <c r="K28" s="355" t="s">
        <v>25</v>
      </c>
      <c r="L28" s="416"/>
    </row>
    <row r="29" spans="1:12">
      <c r="A29" s="219">
        <v>3447</v>
      </c>
      <c r="B29" s="106">
        <v>41333</v>
      </c>
      <c r="C29" s="92" t="s">
        <v>1168</v>
      </c>
      <c r="D29" s="105">
        <v>12000</v>
      </c>
      <c r="E29" s="413">
        <f>D29/'12 - Equity Statement'!$J$10</f>
        <v>1911.4672103728954</v>
      </c>
      <c r="F29" s="92" t="s">
        <v>608</v>
      </c>
      <c r="G29" s="92" t="s">
        <v>111</v>
      </c>
      <c r="H29" s="355" t="s">
        <v>1071</v>
      </c>
      <c r="I29" s="91" t="s">
        <v>1110</v>
      </c>
      <c r="J29" s="92" t="s">
        <v>101</v>
      </c>
      <c r="K29" s="355" t="s">
        <v>32</v>
      </c>
      <c r="L29" s="416"/>
    </row>
    <row r="30" spans="1:12">
      <c r="A30" s="219">
        <v>3445</v>
      </c>
      <c r="B30" s="106">
        <v>41333</v>
      </c>
      <c r="C30" s="92" t="s">
        <v>1181</v>
      </c>
      <c r="D30" s="105">
        <v>20000</v>
      </c>
      <c r="E30" s="413">
        <f>D30/'12 - Equity Statement'!$J$10</f>
        <v>3185.7786839548257</v>
      </c>
      <c r="F30" s="92" t="s">
        <v>614</v>
      </c>
      <c r="G30" s="92" t="s">
        <v>111</v>
      </c>
      <c r="H30" s="355" t="s">
        <v>118</v>
      </c>
      <c r="I30" s="91" t="s">
        <v>1110</v>
      </c>
      <c r="J30" s="92" t="s">
        <v>188</v>
      </c>
      <c r="K30" s="355" t="s">
        <v>26</v>
      </c>
      <c r="L30" s="416"/>
    </row>
    <row r="31" spans="1:12" ht="15">
      <c r="A31" s="219">
        <v>3487</v>
      </c>
      <c r="B31" s="106">
        <v>41334</v>
      </c>
      <c r="C31" s="92" t="s">
        <v>649</v>
      </c>
      <c r="D31" s="423"/>
      <c r="E31" s="413">
        <v>200</v>
      </c>
      <c r="F31" s="92" t="s">
        <v>185</v>
      </c>
      <c r="G31" s="92" t="s">
        <v>113</v>
      </c>
      <c r="H31" s="408" t="s">
        <v>123</v>
      </c>
      <c r="I31" s="91" t="s">
        <v>1110</v>
      </c>
      <c r="J31" s="92" t="s">
        <v>102</v>
      </c>
      <c r="K31" s="355"/>
      <c r="L31" s="416"/>
    </row>
    <row r="32" spans="1:12">
      <c r="A32" s="219">
        <v>3510</v>
      </c>
      <c r="B32" s="106">
        <v>41335</v>
      </c>
      <c r="C32" s="92" t="s">
        <v>781</v>
      </c>
      <c r="D32" s="105">
        <v>53</v>
      </c>
      <c r="E32" s="413">
        <f>D32/'12 - Equity Statement'!$K$10</f>
        <v>8.4544337922123489</v>
      </c>
      <c r="F32" s="92" t="s">
        <v>179</v>
      </c>
      <c r="G32" s="91" t="s">
        <v>132</v>
      </c>
      <c r="H32" s="355" t="s">
        <v>1071</v>
      </c>
      <c r="I32" s="91" t="s">
        <v>1109</v>
      </c>
      <c r="J32" s="92" t="s">
        <v>188</v>
      </c>
      <c r="K32" s="356" t="s">
        <v>29</v>
      </c>
      <c r="L32" s="416"/>
    </row>
    <row r="33" spans="1:12">
      <c r="A33" s="219">
        <v>3435</v>
      </c>
      <c r="B33" s="106">
        <v>41337</v>
      </c>
      <c r="C33" s="92" t="s">
        <v>180</v>
      </c>
      <c r="D33" s="105">
        <v>40</v>
      </c>
      <c r="E33" s="413">
        <f>D33/'12 - Equity Statement'!$K$10</f>
        <v>6.3807047488395092</v>
      </c>
      <c r="F33" s="92" t="s">
        <v>403</v>
      </c>
      <c r="G33" s="91" t="s">
        <v>114</v>
      </c>
      <c r="H33" s="355" t="s">
        <v>1071</v>
      </c>
      <c r="I33" s="91" t="s">
        <v>1110</v>
      </c>
      <c r="J33" s="92" t="s">
        <v>188</v>
      </c>
      <c r="K33" s="356" t="s">
        <v>34</v>
      </c>
      <c r="L33" s="416"/>
    </row>
    <row r="34" spans="1:12">
      <c r="A34" s="219">
        <v>3561</v>
      </c>
      <c r="B34" s="106">
        <v>41337</v>
      </c>
      <c r="C34" s="92" t="s">
        <v>784</v>
      </c>
      <c r="D34" s="105">
        <v>1106</v>
      </c>
      <c r="E34" s="413">
        <f>D34/'12 - Equity Statement'!$K$10</f>
        <v>176.42648630541242</v>
      </c>
      <c r="F34" s="92" t="s">
        <v>559</v>
      </c>
      <c r="G34" s="91" t="s">
        <v>132</v>
      </c>
      <c r="H34" s="355" t="s">
        <v>1071</v>
      </c>
      <c r="I34" s="268" t="s">
        <v>1109</v>
      </c>
      <c r="J34" s="92" t="s">
        <v>188</v>
      </c>
      <c r="K34" s="356" t="s">
        <v>34</v>
      </c>
      <c r="L34" s="416"/>
    </row>
    <row r="35" spans="1:12">
      <c r="A35" s="219">
        <v>3511</v>
      </c>
      <c r="B35" s="106">
        <v>41337</v>
      </c>
      <c r="C35" s="92" t="s">
        <v>782</v>
      </c>
      <c r="D35" s="105">
        <v>157</v>
      </c>
      <c r="E35" s="413">
        <f>D35/'12 - Equity Statement'!$K$10</f>
        <v>25.044266139195074</v>
      </c>
      <c r="F35" s="92" t="s">
        <v>783</v>
      </c>
      <c r="G35" s="91" t="s">
        <v>132</v>
      </c>
      <c r="H35" s="355" t="s">
        <v>1071</v>
      </c>
      <c r="I35" s="91" t="s">
        <v>1109</v>
      </c>
      <c r="J35" s="92" t="s">
        <v>188</v>
      </c>
      <c r="K35" s="356" t="s">
        <v>29</v>
      </c>
      <c r="L35" s="416"/>
    </row>
    <row r="36" spans="1:12">
      <c r="A36" s="219">
        <v>3458</v>
      </c>
      <c r="B36" s="106">
        <v>41338</v>
      </c>
      <c r="C36" s="92" t="s">
        <v>671</v>
      </c>
      <c r="D36" s="105">
        <v>1988.32</v>
      </c>
      <c r="E36" s="413">
        <f>D36/'12 - Equity Statement'!$K$10</f>
        <v>317.17207165531431</v>
      </c>
      <c r="F36" s="92" t="s">
        <v>409</v>
      </c>
      <c r="G36" s="91" t="s">
        <v>52</v>
      </c>
      <c r="H36" s="356" t="s">
        <v>119</v>
      </c>
      <c r="I36" s="91" t="s">
        <v>1109</v>
      </c>
      <c r="J36" s="92" t="s">
        <v>292</v>
      </c>
      <c r="K36" s="355"/>
      <c r="L36" s="416"/>
    </row>
    <row r="37" spans="1:12">
      <c r="A37" s="219">
        <v>3455</v>
      </c>
      <c r="B37" s="106">
        <v>41338</v>
      </c>
      <c r="C37" s="92" t="s">
        <v>785</v>
      </c>
      <c r="D37" s="105">
        <v>178.6</v>
      </c>
      <c r="E37" s="413">
        <f>D37/'12 - Equity Statement'!$K$10</f>
        <v>28.489846703568407</v>
      </c>
      <c r="F37" s="92" t="s">
        <v>302</v>
      </c>
      <c r="G37" s="91" t="s">
        <v>114</v>
      </c>
      <c r="H37" s="355" t="s">
        <v>118</v>
      </c>
      <c r="I37" s="91" t="s">
        <v>1110</v>
      </c>
      <c r="J37" s="92" t="s">
        <v>101</v>
      </c>
      <c r="K37" s="355" t="s">
        <v>23</v>
      </c>
      <c r="L37" s="416"/>
    </row>
    <row r="38" spans="1:12">
      <c r="A38" s="219">
        <v>3460</v>
      </c>
      <c r="B38" s="106">
        <v>41338</v>
      </c>
      <c r="C38" s="92" t="s">
        <v>358</v>
      </c>
      <c r="D38" s="105">
        <v>13200</v>
      </c>
      <c r="E38" s="413">
        <f>D38/'12 - Equity Statement'!$K$10</f>
        <v>2105.632567117038</v>
      </c>
      <c r="F38" s="92" t="s">
        <v>357</v>
      </c>
      <c r="G38" s="92" t="s">
        <v>113</v>
      </c>
      <c r="H38" s="408" t="s">
        <v>123</v>
      </c>
      <c r="I38" s="268" t="s">
        <v>1109</v>
      </c>
      <c r="J38" s="92" t="s">
        <v>188</v>
      </c>
      <c r="K38" s="355"/>
      <c r="L38" s="416"/>
    </row>
    <row r="39" spans="1:12">
      <c r="A39" s="219">
        <v>3456</v>
      </c>
      <c r="B39" s="106">
        <v>41338</v>
      </c>
      <c r="C39" s="92" t="s">
        <v>670</v>
      </c>
      <c r="D39" s="105">
        <v>52800</v>
      </c>
      <c r="E39" s="413">
        <f>D39/'12 - Equity Statement'!$K$10</f>
        <v>8422.5302684681519</v>
      </c>
      <c r="F39" s="92" t="s">
        <v>357</v>
      </c>
      <c r="G39" s="92" t="s">
        <v>113</v>
      </c>
      <c r="H39" s="355" t="s">
        <v>118</v>
      </c>
      <c r="I39" s="268" t="s">
        <v>1109</v>
      </c>
      <c r="J39" s="92" t="s">
        <v>188</v>
      </c>
      <c r="K39" s="356" t="s">
        <v>27</v>
      </c>
      <c r="L39" s="416"/>
    </row>
    <row r="40" spans="1:12">
      <c r="A40" s="219">
        <v>3488</v>
      </c>
      <c r="B40" s="106">
        <v>41338</v>
      </c>
      <c r="C40" s="92" t="s">
        <v>667</v>
      </c>
      <c r="D40" s="105">
        <v>77</v>
      </c>
      <c r="E40" s="413">
        <f>D40/'12 - Equity Statement'!$K$10</f>
        <v>12.282856641516055</v>
      </c>
      <c r="F40" s="92" t="s">
        <v>179</v>
      </c>
      <c r="G40" s="91" t="s">
        <v>132</v>
      </c>
      <c r="H40" s="355" t="s">
        <v>1071</v>
      </c>
      <c r="I40" s="91" t="s">
        <v>1110</v>
      </c>
      <c r="J40" s="92" t="s">
        <v>101</v>
      </c>
      <c r="K40" s="355" t="s">
        <v>32</v>
      </c>
      <c r="L40" s="416"/>
    </row>
    <row r="41" spans="1:12">
      <c r="A41" s="219">
        <v>3457</v>
      </c>
      <c r="B41" s="106">
        <v>41341</v>
      </c>
      <c r="C41" s="92" t="s">
        <v>668</v>
      </c>
      <c r="D41" s="105">
        <v>21</v>
      </c>
      <c r="E41" s="413">
        <f>D41/'12 - Equity Statement'!$K$10</f>
        <v>3.3498699931407421</v>
      </c>
      <c r="F41" s="92" t="s">
        <v>510</v>
      </c>
      <c r="G41" s="91" t="s">
        <v>132</v>
      </c>
      <c r="H41" s="355" t="s">
        <v>1071</v>
      </c>
      <c r="I41" s="91" t="s">
        <v>1110</v>
      </c>
      <c r="J41" s="92" t="s">
        <v>188</v>
      </c>
      <c r="K41" s="356" t="s">
        <v>29</v>
      </c>
      <c r="L41" s="416"/>
    </row>
    <row r="42" spans="1:12">
      <c r="A42" s="219">
        <v>3459</v>
      </c>
      <c r="B42" s="106">
        <v>41341</v>
      </c>
      <c r="C42" s="92" t="s">
        <v>669</v>
      </c>
      <c r="D42" s="105">
        <v>20</v>
      </c>
      <c r="E42" s="413">
        <f>D42/'12 - Equity Statement'!$K$10</f>
        <v>3.1903523744197546</v>
      </c>
      <c r="F42" s="92" t="s">
        <v>264</v>
      </c>
      <c r="G42" s="268" t="s">
        <v>106</v>
      </c>
      <c r="H42" s="355" t="s">
        <v>120</v>
      </c>
      <c r="I42" s="91" t="s">
        <v>1110</v>
      </c>
      <c r="J42" s="92" t="s">
        <v>101</v>
      </c>
      <c r="K42" s="356"/>
      <c r="L42" s="416"/>
    </row>
    <row r="43" spans="1:12">
      <c r="A43" s="219">
        <v>3489</v>
      </c>
      <c r="B43" s="106">
        <v>41344</v>
      </c>
      <c r="C43" s="92" t="s">
        <v>180</v>
      </c>
      <c r="D43" s="105">
        <v>40</v>
      </c>
      <c r="E43" s="413">
        <f>D43/'12 - Equity Statement'!$K$10</f>
        <v>6.3807047488395092</v>
      </c>
      <c r="F43" s="92" t="s">
        <v>403</v>
      </c>
      <c r="G43" s="91" t="s">
        <v>114</v>
      </c>
      <c r="H43" s="355" t="s">
        <v>1071</v>
      </c>
      <c r="I43" s="91" t="s">
        <v>1110</v>
      </c>
      <c r="J43" s="92" t="s">
        <v>188</v>
      </c>
      <c r="K43" s="356" t="s">
        <v>34</v>
      </c>
      <c r="L43" s="416"/>
    </row>
    <row r="44" spans="1:12">
      <c r="A44" s="219">
        <v>3490</v>
      </c>
      <c r="B44" s="106">
        <v>41344</v>
      </c>
      <c r="C44" s="92" t="s">
        <v>656</v>
      </c>
      <c r="D44" s="105">
        <v>252</v>
      </c>
      <c r="E44" s="413">
        <f>D44/'12 - Equity Statement'!$K$10</f>
        <v>40.198439917688908</v>
      </c>
      <c r="F44" s="92" t="s">
        <v>354</v>
      </c>
      <c r="G44" s="91" t="s">
        <v>114</v>
      </c>
      <c r="H44" s="355" t="s">
        <v>1071</v>
      </c>
      <c r="I44" s="91" t="s">
        <v>1110</v>
      </c>
      <c r="J44" s="92" t="s">
        <v>101</v>
      </c>
      <c r="K44" s="356" t="s">
        <v>29</v>
      </c>
      <c r="L44" s="416"/>
    </row>
    <row r="45" spans="1:12">
      <c r="A45" s="219">
        <v>3512</v>
      </c>
      <c r="B45" s="106">
        <v>41344</v>
      </c>
      <c r="C45" s="92" t="s">
        <v>566</v>
      </c>
      <c r="D45" s="105">
        <v>21</v>
      </c>
      <c r="E45" s="413">
        <f>D45/'12 - Equity Statement'!$K$10</f>
        <v>3.3498699931407421</v>
      </c>
      <c r="F45" s="92" t="s">
        <v>179</v>
      </c>
      <c r="G45" s="91" t="s">
        <v>132</v>
      </c>
      <c r="H45" s="355" t="s">
        <v>1071</v>
      </c>
      <c r="I45" s="91" t="s">
        <v>1109</v>
      </c>
      <c r="J45" s="92" t="s">
        <v>188</v>
      </c>
      <c r="K45" s="355" t="s">
        <v>34</v>
      </c>
      <c r="L45" s="416"/>
    </row>
    <row r="46" spans="1:12">
      <c r="A46" s="219">
        <v>3491</v>
      </c>
      <c r="B46" s="106">
        <v>41344</v>
      </c>
      <c r="C46" s="92" t="s">
        <v>657</v>
      </c>
      <c r="D46" s="105">
        <v>2200</v>
      </c>
      <c r="E46" s="413">
        <f>D46/'12 - Equity Statement'!$K$10</f>
        <v>350.938761186173</v>
      </c>
      <c r="F46" s="92" t="s">
        <v>403</v>
      </c>
      <c r="G46" s="268" t="s">
        <v>106</v>
      </c>
      <c r="H46" s="355" t="s">
        <v>120</v>
      </c>
      <c r="I46" s="91" t="s">
        <v>1110</v>
      </c>
      <c r="J46" s="92" t="s">
        <v>188</v>
      </c>
      <c r="K46" s="356"/>
      <c r="L46" s="416"/>
    </row>
    <row r="47" spans="1:12">
      <c r="A47" s="219">
        <v>3492</v>
      </c>
      <c r="B47" s="106">
        <v>41345</v>
      </c>
      <c r="C47" s="92" t="s">
        <v>676</v>
      </c>
      <c r="D47" s="105">
        <v>480</v>
      </c>
      <c r="E47" s="413">
        <f>D47/'12 - Equity Statement'!$K$10</f>
        <v>76.568456986074111</v>
      </c>
      <c r="F47" s="92" t="s">
        <v>409</v>
      </c>
      <c r="G47" s="91" t="s">
        <v>52</v>
      </c>
      <c r="H47" s="356" t="s">
        <v>119</v>
      </c>
      <c r="I47" s="91" t="s">
        <v>1109</v>
      </c>
      <c r="J47" s="92" t="s">
        <v>292</v>
      </c>
      <c r="K47" s="355"/>
      <c r="L47" s="416"/>
    </row>
    <row r="48" spans="1:12">
      <c r="A48" s="219">
        <v>3493</v>
      </c>
      <c r="B48" s="106">
        <v>41345</v>
      </c>
      <c r="C48" s="92" t="s">
        <v>677</v>
      </c>
      <c r="D48" s="105">
        <v>480</v>
      </c>
      <c r="E48" s="413">
        <f>D48/'12 - Equity Statement'!$K$10</f>
        <v>76.568456986074111</v>
      </c>
      <c r="F48" s="92" t="s">
        <v>409</v>
      </c>
      <c r="G48" s="91" t="s">
        <v>52</v>
      </c>
      <c r="H48" s="355" t="s">
        <v>1071</v>
      </c>
      <c r="I48" s="91" t="s">
        <v>1109</v>
      </c>
      <c r="J48" s="92" t="s">
        <v>292</v>
      </c>
      <c r="K48" s="356" t="s">
        <v>29</v>
      </c>
      <c r="L48" s="416"/>
    </row>
    <row r="49" spans="1:12">
      <c r="A49" s="219">
        <v>3494</v>
      </c>
      <c r="B49" s="106">
        <v>41345</v>
      </c>
      <c r="C49" s="92" t="s">
        <v>570</v>
      </c>
      <c r="D49" s="105">
        <v>344.14</v>
      </c>
      <c r="E49" s="413">
        <f>D49/'12 - Equity Statement'!$K$10</f>
        <v>54.896393306640711</v>
      </c>
      <c r="F49" s="92" t="s">
        <v>181</v>
      </c>
      <c r="G49" s="91" t="s">
        <v>114</v>
      </c>
      <c r="H49" s="355" t="s">
        <v>118</v>
      </c>
      <c r="I49" s="91" t="s">
        <v>1109</v>
      </c>
      <c r="J49" s="92" t="s">
        <v>292</v>
      </c>
      <c r="K49" s="355" t="s">
        <v>23</v>
      </c>
      <c r="L49" s="416"/>
    </row>
    <row r="50" spans="1:12">
      <c r="A50" s="219">
        <v>3495</v>
      </c>
      <c r="B50" s="106">
        <v>41345</v>
      </c>
      <c r="C50" s="92" t="s">
        <v>569</v>
      </c>
      <c r="D50" s="105">
        <v>173.6</v>
      </c>
      <c r="E50" s="413">
        <f>D50/'12 - Equity Statement'!$K$10</f>
        <v>27.692258609963467</v>
      </c>
      <c r="F50" s="92" t="s">
        <v>563</v>
      </c>
      <c r="G50" s="91" t="s">
        <v>114</v>
      </c>
      <c r="H50" s="355" t="s">
        <v>1071</v>
      </c>
      <c r="I50" s="91" t="s">
        <v>1109</v>
      </c>
      <c r="J50" s="92" t="s">
        <v>292</v>
      </c>
      <c r="K50" s="356" t="s">
        <v>29</v>
      </c>
      <c r="L50" s="416"/>
    </row>
    <row r="51" spans="1:12">
      <c r="A51" s="219">
        <v>3513</v>
      </c>
      <c r="B51" s="106">
        <v>41345</v>
      </c>
      <c r="C51" s="92" t="s">
        <v>564</v>
      </c>
      <c r="D51" s="105">
        <v>31</v>
      </c>
      <c r="E51" s="413">
        <f>D51/'12 - Equity Statement'!$K$10</f>
        <v>4.9450461803506194</v>
      </c>
      <c r="F51" s="92" t="s">
        <v>179</v>
      </c>
      <c r="G51" s="91" t="s">
        <v>132</v>
      </c>
      <c r="H51" s="355" t="s">
        <v>1071</v>
      </c>
      <c r="I51" s="91" t="s">
        <v>1109</v>
      </c>
      <c r="J51" s="92" t="s">
        <v>188</v>
      </c>
      <c r="K51" s="355" t="s">
        <v>29</v>
      </c>
      <c r="L51" s="416"/>
    </row>
    <row r="52" spans="1:12">
      <c r="A52" s="219">
        <v>3497</v>
      </c>
      <c r="B52" s="106">
        <v>41347</v>
      </c>
      <c r="C52" s="92" t="s">
        <v>465</v>
      </c>
      <c r="D52" s="105">
        <v>1680</v>
      </c>
      <c r="E52" s="413">
        <f>D52/'12 - Equity Statement'!$K$10</f>
        <v>267.98959945125938</v>
      </c>
      <c r="F52" s="92" t="s">
        <v>183</v>
      </c>
      <c r="G52" s="92" t="s">
        <v>111</v>
      </c>
      <c r="H52" s="355" t="s">
        <v>118</v>
      </c>
      <c r="I52" s="91" t="s">
        <v>1110</v>
      </c>
      <c r="J52" s="92" t="s">
        <v>101</v>
      </c>
      <c r="K52" s="355" t="s">
        <v>26</v>
      </c>
      <c r="L52" s="416"/>
    </row>
    <row r="53" spans="1:12">
      <c r="A53" s="219">
        <v>3496</v>
      </c>
      <c r="B53" s="106">
        <v>41347</v>
      </c>
      <c r="C53" s="92" t="s">
        <v>565</v>
      </c>
      <c r="D53" s="105">
        <v>870</v>
      </c>
      <c r="E53" s="413">
        <f>D53/'12 - Equity Statement'!$K$10</f>
        <v>138.78032828725932</v>
      </c>
      <c r="F53" s="92" t="s">
        <v>182</v>
      </c>
      <c r="G53" s="92" t="s">
        <v>111</v>
      </c>
      <c r="H53" s="355" t="s">
        <v>118</v>
      </c>
      <c r="I53" s="91" t="s">
        <v>1110</v>
      </c>
      <c r="J53" s="92" t="s">
        <v>101</v>
      </c>
      <c r="K53" s="355" t="s">
        <v>26</v>
      </c>
      <c r="L53" s="416"/>
    </row>
    <row r="54" spans="1:12">
      <c r="A54" s="219">
        <v>3498</v>
      </c>
      <c r="B54" s="106">
        <v>41348</v>
      </c>
      <c r="C54" s="92" t="s">
        <v>463</v>
      </c>
      <c r="D54" s="105">
        <v>955.68</v>
      </c>
      <c r="E54" s="413">
        <f>D54/'12 - Equity Statement'!$K$10</f>
        <v>152.44779785927355</v>
      </c>
      <c r="F54" s="92" t="s">
        <v>303</v>
      </c>
      <c r="G54" s="91" t="s">
        <v>116</v>
      </c>
      <c r="H54" s="356" t="s">
        <v>119</v>
      </c>
      <c r="I54" s="91" t="s">
        <v>1109</v>
      </c>
      <c r="J54" s="92" t="s">
        <v>292</v>
      </c>
      <c r="K54" s="355"/>
      <c r="L54" s="416"/>
    </row>
    <row r="55" spans="1:12">
      <c r="A55" s="219">
        <v>3514</v>
      </c>
      <c r="B55" s="106">
        <v>41348</v>
      </c>
      <c r="C55" s="92" t="s">
        <v>464</v>
      </c>
      <c r="D55" s="105">
        <v>40</v>
      </c>
      <c r="E55" s="413">
        <f>D55/'12 - Equity Statement'!$K$10</f>
        <v>6.3807047488395092</v>
      </c>
      <c r="F55" s="92" t="s">
        <v>179</v>
      </c>
      <c r="G55" s="91" t="s">
        <v>132</v>
      </c>
      <c r="H55" s="355" t="s">
        <v>118</v>
      </c>
      <c r="I55" s="91" t="s">
        <v>1109</v>
      </c>
      <c r="J55" s="92" t="s">
        <v>188</v>
      </c>
      <c r="K55" s="355" t="s">
        <v>23</v>
      </c>
      <c r="L55" s="416"/>
    </row>
    <row r="56" spans="1:12">
      <c r="A56" s="219">
        <v>3500</v>
      </c>
      <c r="B56" s="106">
        <v>41351</v>
      </c>
      <c r="C56" s="92" t="s">
        <v>180</v>
      </c>
      <c r="D56" s="105">
        <v>40</v>
      </c>
      <c r="E56" s="413">
        <f>D56/'12 - Equity Statement'!$K$10</f>
        <v>6.3807047488395092</v>
      </c>
      <c r="F56" s="92" t="s">
        <v>403</v>
      </c>
      <c r="G56" s="91" t="s">
        <v>114</v>
      </c>
      <c r="H56" s="355" t="s">
        <v>1071</v>
      </c>
      <c r="I56" s="91" t="s">
        <v>1110</v>
      </c>
      <c r="J56" s="92" t="s">
        <v>188</v>
      </c>
      <c r="K56" s="356" t="s">
        <v>34</v>
      </c>
      <c r="L56" s="416"/>
    </row>
    <row r="57" spans="1:12">
      <c r="A57" s="219">
        <v>3499</v>
      </c>
      <c r="B57" s="106">
        <v>41351</v>
      </c>
      <c r="C57" s="92" t="s">
        <v>1183</v>
      </c>
      <c r="D57" s="105">
        <v>20000</v>
      </c>
      <c r="E57" s="413">
        <f>D57/'12 - Equity Statement'!$K$10</f>
        <v>3190.3523744197546</v>
      </c>
      <c r="F57" s="92" t="s">
        <v>372</v>
      </c>
      <c r="G57" s="92" t="s">
        <v>111</v>
      </c>
      <c r="H57" s="355" t="s">
        <v>118</v>
      </c>
      <c r="I57" s="91" t="s">
        <v>1110</v>
      </c>
      <c r="J57" s="92" t="s">
        <v>188</v>
      </c>
      <c r="K57" s="355" t="s">
        <v>26</v>
      </c>
      <c r="L57" s="416"/>
    </row>
    <row r="58" spans="1:12" ht="15">
      <c r="A58" s="219">
        <v>3507</v>
      </c>
      <c r="B58" s="106">
        <v>41352</v>
      </c>
      <c r="C58" s="92" t="s">
        <v>362</v>
      </c>
      <c r="D58" s="423"/>
      <c r="E58" s="413">
        <v>45</v>
      </c>
      <c r="F58" s="92" t="s">
        <v>363</v>
      </c>
      <c r="G58" s="91" t="s">
        <v>114</v>
      </c>
      <c r="H58" s="355" t="s">
        <v>1071</v>
      </c>
      <c r="I58" s="91" t="s">
        <v>1110</v>
      </c>
      <c r="J58" s="92" t="s">
        <v>290</v>
      </c>
      <c r="K58" s="355" t="s">
        <v>29</v>
      </c>
      <c r="L58" s="416"/>
    </row>
    <row r="59" spans="1:12">
      <c r="A59" s="219">
        <v>3501</v>
      </c>
      <c r="B59" s="106">
        <v>41353</v>
      </c>
      <c r="C59" s="91" t="s">
        <v>1185</v>
      </c>
      <c r="D59" s="105">
        <v>190</v>
      </c>
      <c r="E59" s="413">
        <f>D59/'12 - Equity Statement'!$K$10</f>
        <v>30.308347556987666</v>
      </c>
      <c r="F59" s="92" t="s">
        <v>303</v>
      </c>
      <c r="G59" s="92" t="s">
        <v>107</v>
      </c>
      <c r="H59" s="355" t="s">
        <v>1071</v>
      </c>
      <c r="I59" s="91" t="s">
        <v>1109</v>
      </c>
      <c r="J59" s="92" t="s">
        <v>188</v>
      </c>
      <c r="K59" s="356" t="s">
        <v>29</v>
      </c>
      <c r="L59" s="416"/>
    </row>
    <row r="60" spans="1:12">
      <c r="A60" s="219">
        <v>3502</v>
      </c>
      <c r="B60" s="106">
        <v>41353</v>
      </c>
      <c r="C60" s="92" t="s">
        <v>373</v>
      </c>
      <c r="D60" s="105">
        <v>22</v>
      </c>
      <c r="E60" s="413">
        <f>D60/'12 - Equity Statement'!$K$10</f>
        <v>3.50938761186173</v>
      </c>
      <c r="F60" s="92" t="s">
        <v>510</v>
      </c>
      <c r="G60" s="91" t="s">
        <v>132</v>
      </c>
      <c r="H60" s="355" t="s">
        <v>1071</v>
      </c>
      <c r="I60" s="91" t="s">
        <v>1110</v>
      </c>
      <c r="J60" s="92" t="s">
        <v>188</v>
      </c>
      <c r="K60" s="356" t="s">
        <v>29</v>
      </c>
      <c r="L60" s="416"/>
    </row>
    <row r="61" spans="1:12">
      <c r="A61" s="219">
        <v>3503</v>
      </c>
      <c r="B61" s="106">
        <v>41354</v>
      </c>
      <c r="C61" s="92" t="s">
        <v>374</v>
      </c>
      <c r="D61" s="105">
        <v>21</v>
      </c>
      <c r="E61" s="413">
        <f>D61/'12 - Equity Statement'!$K$10</f>
        <v>3.3498699931407421</v>
      </c>
      <c r="F61" s="92" t="s">
        <v>375</v>
      </c>
      <c r="G61" s="91" t="s">
        <v>132</v>
      </c>
      <c r="H61" s="355" t="s">
        <v>1071</v>
      </c>
      <c r="I61" s="91" t="s">
        <v>1110</v>
      </c>
      <c r="J61" s="92" t="s">
        <v>188</v>
      </c>
      <c r="K61" s="356" t="s">
        <v>29</v>
      </c>
      <c r="L61" s="416"/>
    </row>
    <row r="62" spans="1:12">
      <c r="A62" s="219">
        <v>3504</v>
      </c>
      <c r="B62" s="106">
        <v>41355</v>
      </c>
      <c r="C62" s="92" t="s">
        <v>376</v>
      </c>
      <c r="D62" s="105">
        <v>5</v>
      </c>
      <c r="E62" s="413">
        <f>D62/'12 - Equity Statement'!$K$10</f>
        <v>0.79758809360493865</v>
      </c>
      <c r="F62" s="92" t="s">
        <v>403</v>
      </c>
      <c r="G62" s="91" t="s">
        <v>114</v>
      </c>
      <c r="H62" s="355" t="s">
        <v>118</v>
      </c>
      <c r="I62" s="91" t="s">
        <v>1110</v>
      </c>
      <c r="J62" s="92" t="s">
        <v>188</v>
      </c>
      <c r="K62" s="355" t="s">
        <v>23</v>
      </c>
      <c r="L62" s="416"/>
    </row>
    <row r="63" spans="1:12">
      <c r="A63" s="219">
        <v>3505</v>
      </c>
      <c r="B63" s="106">
        <v>41358</v>
      </c>
      <c r="C63" s="92" t="s">
        <v>368</v>
      </c>
      <c r="D63" s="105">
        <v>40</v>
      </c>
      <c r="E63" s="413">
        <f>D63/'12 - Equity Statement'!$K$10</f>
        <v>6.3807047488395092</v>
      </c>
      <c r="F63" s="92" t="s">
        <v>403</v>
      </c>
      <c r="G63" s="91" t="s">
        <v>114</v>
      </c>
      <c r="H63" s="355" t="s">
        <v>1071</v>
      </c>
      <c r="I63" s="91" t="s">
        <v>1110</v>
      </c>
      <c r="J63" s="92" t="s">
        <v>188</v>
      </c>
      <c r="K63" s="356" t="s">
        <v>34</v>
      </c>
      <c r="L63" s="416"/>
    </row>
    <row r="64" spans="1:12" ht="15">
      <c r="A64" s="219">
        <v>3529</v>
      </c>
      <c r="B64" s="106">
        <v>41359</v>
      </c>
      <c r="C64" s="92" t="s">
        <v>189</v>
      </c>
      <c r="D64" s="423"/>
      <c r="E64" s="413">
        <v>8060</v>
      </c>
      <c r="F64" s="92" t="s">
        <v>477</v>
      </c>
      <c r="G64" s="92" t="s">
        <v>108</v>
      </c>
      <c r="H64" s="355" t="s">
        <v>1071</v>
      </c>
      <c r="I64" s="91" t="s">
        <v>1110</v>
      </c>
      <c r="J64" s="92" t="s">
        <v>290</v>
      </c>
      <c r="K64" s="355" t="s">
        <v>30</v>
      </c>
      <c r="L64" s="416"/>
    </row>
    <row r="65" spans="1:12">
      <c r="A65" s="219">
        <v>3506</v>
      </c>
      <c r="B65" s="106">
        <v>41359</v>
      </c>
      <c r="C65" s="92" t="s">
        <v>378</v>
      </c>
      <c r="D65" s="105">
        <v>81</v>
      </c>
      <c r="E65" s="413">
        <f>D65/'12 - Equity Statement'!$K$10</f>
        <v>12.920927116400005</v>
      </c>
      <c r="F65" s="92" t="s">
        <v>179</v>
      </c>
      <c r="G65" s="91" t="s">
        <v>132</v>
      </c>
      <c r="H65" s="355" t="s">
        <v>1071</v>
      </c>
      <c r="I65" s="91" t="s">
        <v>1109</v>
      </c>
      <c r="J65" s="92" t="s">
        <v>188</v>
      </c>
      <c r="K65" s="355" t="s">
        <v>32</v>
      </c>
      <c r="L65" s="416"/>
    </row>
    <row r="66" spans="1:12">
      <c r="A66" s="219">
        <v>3515</v>
      </c>
      <c r="B66" s="106">
        <v>41359</v>
      </c>
      <c r="C66" s="92" t="s">
        <v>379</v>
      </c>
      <c r="D66" s="105">
        <v>16</v>
      </c>
      <c r="E66" s="413">
        <f>D66/'12 - Equity Statement'!$K$10</f>
        <v>2.5522818995358034</v>
      </c>
      <c r="F66" s="92" t="s">
        <v>179</v>
      </c>
      <c r="G66" s="91" t="s">
        <v>132</v>
      </c>
      <c r="H66" s="355" t="s">
        <v>120</v>
      </c>
      <c r="I66" s="91" t="s">
        <v>1109</v>
      </c>
      <c r="J66" s="92" t="s">
        <v>188</v>
      </c>
      <c r="K66" s="355"/>
      <c r="L66" s="416"/>
    </row>
    <row r="67" spans="1:12">
      <c r="A67" s="219">
        <v>3527</v>
      </c>
      <c r="B67" s="106">
        <v>41360</v>
      </c>
      <c r="C67" s="92" t="s">
        <v>482</v>
      </c>
      <c r="D67" s="105">
        <v>6000</v>
      </c>
      <c r="E67" s="413">
        <f>D67/'12 - Equity Statement'!$K$10</f>
        <v>957.10571232592633</v>
      </c>
      <c r="F67" s="92" t="s">
        <v>582</v>
      </c>
      <c r="G67" s="92" t="s">
        <v>109</v>
      </c>
      <c r="H67" s="355" t="s">
        <v>1071</v>
      </c>
      <c r="I67" s="91" t="s">
        <v>1110</v>
      </c>
      <c r="J67" s="92" t="s">
        <v>188</v>
      </c>
      <c r="K67" s="356" t="s">
        <v>34</v>
      </c>
      <c r="L67" s="416"/>
    </row>
    <row r="68" spans="1:12">
      <c r="A68" s="219">
        <v>3509</v>
      </c>
      <c r="B68" s="106">
        <v>41360</v>
      </c>
      <c r="C68" s="92" t="s">
        <v>480</v>
      </c>
      <c r="D68" s="105">
        <v>299</v>
      </c>
      <c r="E68" s="413">
        <f>D68/'12 - Equity Statement'!$K$10</f>
        <v>47.695767997575331</v>
      </c>
      <c r="F68" s="92" t="s">
        <v>479</v>
      </c>
      <c r="G68" s="91" t="s">
        <v>114</v>
      </c>
      <c r="H68" s="355" t="s">
        <v>1071</v>
      </c>
      <c r="I68" s="91" t="s">
        <v>1109</v>
      </c>
      <c r="J68" s="92" t="s">
        <v>188</v>
      </c>
      <c r="K68" s="356" t="s">
        <v>29</v>
      </c>
      <c r="L68" s="416"/>
    </row>
    <row r="69" spans="1:12">
      <c r="A69" s="219">
        <v>3508</v>
      </c>
      <c r="B69" s="106">
        <v>41360</v>
      </c>
      <c r="C69" s="92" t="s">
        <v>478</v>
      </c>
      <c r="D69" s="105">
        <v>138</v>
      </c>
      <c r="E69" s="413">
        <f>D69/'12 - Equity Statement'!$K$10</f>
        <v>22.013431383496307</v>
      </c>
      <c r="F69" s="92" t="s">
        <v>479</v>
      </c>
      <c r="G69" s="91" t="s">
        <v>114</v>
      </c>
      <c r="H69" s="355" t="s">
        <v>1071</v>
      </c>
      <c r="I69" s="91" t="s">
        <v>1109</v>
      </c>
      <c r="J69" s="92" t="s">
        <v>188</v>
      </c>
      <c r="K69" s="356" t="s">
        <v>29</v>
      </c>
      <c r="L69" s="416"/>
    </row>
    <row r="70" spans="1:12">
      <c r="A70" s="219">
        <v>3516</v>
      </c>
      <c r="B70" s="106">
        <v>41360</v>
      </c>
      <c r="C70" s="92" t="s">
        <v>481</v>
      </c>
      <c r="D70" s="105">
        <v>20</v>
      </c>
      <c r="E70" s="413">
        <f>D70/'12 - Equity Statement'!$K$10</f>
        <v>3.1903523744197546</v>
      </c>
      <c r="F70" s="92" t="s">
        <v>179</v>
      </c>
      <c r="G70" s="91" t="s">
        <v>132</v>
      </c>
      <c r="H70" s="355" t="s">
        <v>1071</v>
      </c>
      <c r="I70" s="91" t="s">
        <v>1109</v>
      </c>
      <c r="J70" s="92" t="s">
        <v>188</v>
      </c>
      <c r="K70" s="355" t="s">
        <v>29</v>
      </c>
      <c r="L70" s="416"/>
    </row>
    <row r="71" spans="1:12">
      <c r="A71" s="219">
        <v>3519</v>
      </c>
      <c r="B71" s="106">
        <v>41362</v>
      </c>
      <c r="C71" s="92" t="s">
        <v>720</v>
      </c>
      <c r="D71" s="105">
        <v>7500</v>
      </c>
      <c r="E71" s="413">
        <f>D71/'12 - Equity Statement'!$K$10</f>
        <v>1196.3821404074079</v>
      </c>
      <c r="F71" s="92" t="s">
        <v>509</v>
      </c>
      <c r="G71" s="91" t="s">
        <v>51</v>
      </c>
      <c r="H71" s="355" t="s">
        <v>1071</v>
      </c>
      <c r="I71" s="91" t="s">
        <v>1109</v>
      </c>
      <c r="J71" s="92" t="s">
        <v>101</v>
      </c>
      <c r="K71" s="355" t="s">
        <v>32</v>
      </c>
      <c r="L71" s="416"/>
    </row>
    <row r="72" spans="1:12">
      <c r="A72" s="219">
        <v>3518</v>
      </c>
      <c r="B72" s="106">
        <v>41362</v>
      </c>
      <c r="C72" s="92" t="s">
        <v>584</v>
      </c>
      <c r="D72" s="105">
        <v>10000</v>
      </c>
      <c r="E72" s="413">
        <f>D72/'12 - Equity Statement'!$K$10</f>
        <v>1595.1761872098773</v>
      </c>
      <c r="F72" s="92" t="s">
        <v>511</v>
      </c>
      <c r="G72" s="91" t="s">
        <v>51</v>
      </c>
      <c r="H72" s="355" t="s">
        <v>1071</v>
      </c>
      <c r="I72" s="91" t="s">
        <v>1109</v>
      </c>
      <c r="J72" s="91" t="s">
        <v>175</v>
      </c>
      <c r="K72" s="355" t="s">
        <v>29</v>
      </c>
      <c r="L72" s="416"/>
    </row>
    <row r="73" spans="1:12">
      <c r="A73" s="219">
        <v>3526</v>
      </c>
      <c r="B73" s="106">
        <v>41362</v>
      </c>
      <c r="C73" s="92" t="s">
        <v>748</v>
      </c>
      <c r="D73" s="105">
        <v>5500</v>
      </c>
      <c r="E73" s="413">
        <f>D73/'12 - Equity Statement'!$K$10</f>
        <v>877.34690296543249</v>
      </c>
      <c r="F73" s="92" t="s">
        <v>603</v>
      </c>
      <c r="G73" s="91" t="s">
        <v>20</v>
      </c>
      <c r="H73" s="356" t="s">
        <v>119</v>
      </c>
      <c r="I73" s="91" t="s">
        <v>1110</v>
      </c>
      <c r="J73" s="92" t="s">
        <v>188</v>
      </c>
      <c r="K73" s="355"/>
      <c r="L73" s="416"/>
    </row>
    <row r="74" spans="1:12">
      <c r="A74" s="219">
        <v>3521</v>
      </c>
      <c r="B74" s="106">
        <v>41362</v>
      </c>
      <c r="C74" s="92" t="s">
        <v>850</v>
      </c>
      <c r="D74" s="105">
        <v>4200</v>
      </c>
      <c r="E74" s="413">
        <f>D74/'12 - Equity Statement'!$K$10</f>
        <v>669.97399862814848</v>
      </c>
      <c r="F74" s="92" t="s">
        <v>510</v>
      </c>
      <c r="G74" s="91" t="s">
        <v>53</v>
      </c>
      <c r="H74" s="355" t="s">
        <v>1071</v>
      </c>
      <c r="I74" s="91" t="s">
        <v>1109</v>
      </c>
      <c r="J74" s="92" t="s">
        <v>188</v>
      </c>
      <c r="K74" s="356" t="s">
        <v>34</v>
      </c>
      <c r="L74" s="416"/>
    </row>
    <row r="75" spans="1:12">
      <c r="A75" s="219">
        <v>3517</v>
      </c>
      <c r="B75" s="106">
        <v>41362</v>
      </c>
      <c r="C75" s="92" t="s">
        <v>583</v>
      </c>
      <c r="D75" s="105">
        <v>1988.32</v>
      </c>
      <c r="E75" s="413">
        <f>D75/'12 - Equity Statement'!$K$10</f>
        <v>317.17207165531431</v>
      </c>
      <c r="F75" s="92" t="s">
        <v>409</v>
      </c>
      <c r="G75" s="91" t="s">
        <v>52</v>
      </c>
      <c r="H75" s="356" t="s">
        <v>119</v>
      </c>
      <c r="I75" s="91" t="s">
        <v>1109</v>
      </c>
      <c r="J75" s="92" t="s">
        <v>292</v>
      </c>
      <c r="K75" s="355"/>
      <c r="L75" s="416"/>
    </row>
    <row r="76" spans="1:12">
      <c r="A76" s="219">
        <v>3520</v>
      </c>
      <c r="B76" s="106">
        <v>41362</v>
      </c>
      <c r="C76" s="92" t="s">
        <v>849</v>
      </c>
      <c r="D76" s="105">
        <v>5500</v>
      </c>
      <c r="E76" s="413">
        <f>D76/'12 - Equity Statement'!$K$10</f>
        <v>877.34690296543249</v>
      </c>
      <c r="F76" s="92" t="s">
        <v>509</v>
      </c>
      <c r="G76" s="91" t="s">
        <v>108</v>
      </c>
      <c r="H76" s="355" t="s">
        <v>1071</v>
      </c>
      <c r="I76" s="91" t="s">
        <v>1110</v>
      </c>
      <c r="J76" s="92" t="s">
        <v>101</v>
      </c>
      <c r="K76" s="355" t="s">
        <v>32</v>
      </c>
      <c r="L76" s="416"/>
    </row>
    <row r="77" spans="1:12">
      <c r="A77" s="219">
        <v>3525</v>
      </c>
      <c r="B77" s="106">
        <v>41362</v>
      </c>
      <c r="C77" s="92" t="s">
        <v>1123</v>
      </c>
      <c r="D77" s="105">
        <v>13000</v>
      </c>
      <c r="E77" s="413">
        <f>D77/'12 - Equity Statement'!$K$10</f>
        <v>2073.7290433728404</v>
      </c>
      <c r="F77" s="92" t="s">
        <v>304</v>
      </c>
      <c r="G77" s="91" t="s">
        <v>108</v>
      </c>
      <c r="H77" s="355" t="s">
        <v>1071</v>
      </c>
      <c r="I77" s="91" t="s">
        <v>1110</v>
      </c>
      <c r="J77" s="92" t="s">
        <v>188</v>
      </c>
      <c r="K77" s="356" t="s">
        <v>30</v>
      </c>
      <c r="L77" s="416"/>
    </row>
    <row r="78" spans="1:12">
      <c r="A78" s="219">
        <v>3523</v>
      </c>
      <c r="B78" s="106">
        <v>41362</v>
      </c>
      <c r="C78" s="92" t="s">
        <v>1134</v>
      </c>
      <c r="D78" s="105">
        <v>6000</v>
      </c>
      <c r="E78" s="413">
        <f>D78/'12 - Equity Statement'!$K$10</f>
        <v>957.10571232592633</v>
      </c>
      <c r="F78" s="92" t="s">
        <v>404</v>
      </c>
      <c r="G78" s="91" t="s">
        <v>108</v>
      </c>
      <c r="H78" s="355" t="s">
        <v>1071</v>
      </c>
      <c r="I78" s="91" t="s">
        <v>1110</v>
      </c>
      <c r="J78" s="92" t="s">
        <v>188</v>
      </c>
      <c r="K78" s="355" t="s">
        <v>32</v>
      </c>
      <c r="L78" s="416"/>
    </row>
    <row r="79" spans="1:12">
      <c r="A79" s="219">
        <v>3522</v>
      </c>
      <c r="B79" s="106">
        <v>41362</v>
      </c>
      <c r="C79" s="92" t="s">
        <v>851</v>
      </c>
      <c r="D79" s="105">
        <v>3000</v>
      </c>
      <c r="E79" s="413">
        <f>D79/'12 - Equity Statement'!$K$10</f>
        <v>478.55285616296317</v>
      </c>
      <c r="F79" s="92" t="s">
        <v>510</v>
      </c>
      <c r="G79" s="91" t="s">
        <v>108</v>
      </c>
      <c r="H79" s="355" t="s">
        <v>1071</v>
      </c>
      <c r="I79" s="91" t="s">
        <v>1110</v>
      </c>
      <c r="J79" s="92" t="s">
        <v>188</v>
      </c>
      <c r="K79" s="355" t="s">
        <v>32</v>
      </c>
      <c r="L79" s="416"/>
    </row>
    <row r="80" spans="1:12">
      <c r="A80" s="219">
        <v>3528</v>
      </c>
      <c r="B80" s="106">
        <v>41362</v>
      </c>
      <c r="C80" s="92" t="s">
        <v>749</v>
      </c>
      <c r="D80" s="105">
        <v>8</v>
      </c>
      <c r="E80" s="413">
        <f>D80/'12 - Equity Statement'!$L$10</f>
        <v>1.2812505004884767</v>
      </c>
      <c r="F80" s="92" t="s">
        <v>750</v>
      </c>
      <c r="G80" s="91" t="s">
        <v>114</v>
      </c>
      <c r="H80" s="355" t="s">
        <v>1071</v>
      </c>
      <c r="I80" s="91" t="s">
        <v>1110</v>
      </c>
      <c r="J80" s="92" t="s">
        <v>101</v>
      </c>
      <c r="K80" s="356" t="s">
        <v>29</v>
      </c>
      <c r="L80" s="416"/>
    </row>
    <row r="81" spans="1:12">
      <c r="A81" s="219">
        <v>3524</v>
      </c>
      <c r="B81" s="106">
        <v>41362</v>
      </c>
      <c r="C81" s="92" t="s">
        <v>1172</v>
      </c>
      <c r="D81" s="105">
        <v>12000</v>
      </c>
      <c r="E81" s="413">
        <f>D81/'12 - Equity Statement'!$K$10</f>
        <v>1914.2114246518527</v>
      </c>
      <c r="F81" s="92" t="s">
        <v>184</v>
      </c>
      <c r="G81" s="92" t="s">
        <v>111</v>
      </c>
      <c r="H81" s="356" t="s">
        <v>119</v>
      </c>
      <c r="I81" s="91" t="s">
        <v>1110</v>
      </c>
      <c r="J81" s="92" t="s">
        <v>101</v>
      </c>
      <c r="K81" s="355"/>
      <c r="L81" s="416"/>
    </row>
    <row r="82" spans="1:12" ht="15">
      <c r="A82" s="219">
        <v>3530</v>
      </c>
      <c r="B82" s="106">
        <v>41365</v>
      </c>
      <c r="C82" s="92" t="s">
        <v>751</v>
      </c>
      <c r="D82" s="423"/>
      <c r="E82" s="413">
        <v>200</v>
      </c>
      <c r="F82" s="92" t="s">
        <v>185</v>
      </c>
      <c r="G82" s="92" t="s">
        <v>113</v>
      </c>
      <c r="H82" s="408" t="s">
        <v>123</v>
      </c>
      <c r="I82" s="91" t="s">
        <v>1110</v>
      </c>
      <c r="J82" s="92" t="s">
        <v>102</v>
      </c>
      <c r="K82" s="355"/>
      <c r="L82" s="416"/>
    </row>
    <row r="83" spans="1:12" ht="15">
      <c r="A83" s="219">
        <v>3573</v>
      </c>
      <c r="B83" s="106">
        <v>41365</v>
      </c>
      <c r="C83" s="92" t="s">
        <v>753</v>
      </c>
      <c r="D83" s="423"/>
      <c r="E83" s="413">
        <v>1243.2</v>
      </c>
      <c r="F83" s="92" t="s">
        <v>754</v>
      </c>
      <c r="G83" s="91" t="s">
        <v>132</v>
      </c>
      <c r="H83" s="355" t="s">
        <v>1071</v>
      </c>
      <c r="I83" s="91" t="s">
        <v>1110</v>
      </c>
      <c r="J83" s="92" t="s">
        <v>102</v>
      </c>
      <c r="K83" s="356" t="s">
        <v>29</v>
      </c>
      <c r="L83" s="416"/>
    </row>
    <row r="84" spans="1:12">
      <c r="A84" s="219">
        <v>3546</v>
      </c>
      <c r="B84" s="106">
        <v>41365</v>
      </c>
      <c r="C84" s="92" t="s">
        <v>752</v>
      </c>
      <c r="D84" s="105">
        <v>109</v>
      </c>
      <c r="E84" s="413">
        <f>D84/'12 - Equity Statement'!$L$10</f>
        <v>17.457038069155494</v>
      </c>
      <c r="F84" s="92" t="s">
        <v>179</v>
      </c>
      <c r="G84" s="91" t="s">
        <v>132</v>
      </c>
      <c r="H84" s="355" t="s">
        <v>1071</v>
      </c>
      <c r="I84" s="268" t="s">
        <v>1109</v>
      </c>
      <c r="J84" s="92" t="s">
        <v>188</v>
      </c>
      <c r="K84" s="355" t="s">
        <v>29</v>
      </c>
      <c r="L84" s="416"/>
    </row>
    <row r="85" spans="1:12">
      <c r="A85" s="219">
        <v>3557</v>
      </c>
      <c r="B85" s="106">
        <v>41366</v>
      </c>
      <c r="C85" s="92" t="s">
        <v>449</v>
      </c>
      <c r="D85" s="105">
        <v>1018.08</v>
      </c>
      <c r="E85" s="413">
        <f>D85/'12 - Equity Statement'!$L$10</f>
        <v>163.05193869216356</v>
      </c>
      <c r="F85" s="92" t="s">
        <v>409</v>
      </c>
      <c r="G85" s="91" t="s">
        <v>52</v>
      </c>
      <c r="H85" s="356" t="s">
        <v>119</v>
      </c>
      <c r="I85" s="91" t="s">
        <v>1110</v>
      </c>
      <c r="J85" s="92" t="s">
        <v>292</v>
      </c>
      <c r="K85" s="355"/>
      <c r="L85" s="416"/>
    </row>
    <row r="86" spans="1:12">
      <c r="A86" s="219">
        <v>3531</v>
      </c>
      <c r="B86" s="106">
        <v>41366</v>
      </c>
      <c r="C86" s="92" t="s">
        <v>733</v>
      </c>
      <c r="D86" s="105">
        <v>35</v>
      </c>
      <c r="E86" s="413">
        <f>D86/'12 - Equity Statement'!$L$10</f>
        <v>5.6054709396370859</v>
      </c>
      <c r="F86" s="92" t="s">
        <v>609</v>
      </c>
      <c r="G86" s="92" t="s">
        <v>108</v>
      </c>
      <c r="H86" s="355" t="s">
        <v>1071</v>
      </c>
      <c r="I86" s="268" t="s">
        <v>1109</v>
      </c>
      <c r="J86" s="92" t="s">
        <v>188</v>
      </c>
      <c r="K86" s="356" t="s">
        <v>29</v>
      </c>
      <c r="L86" s="416"/>
    </row>
    <row r="87" spans="1:12">
      <c r="A87" s="219">
        <v>3532</v>
      </c>
      <c r="B87" s="106">
        <v>41366</v>
      </c>
      <c r="C87" s="92" t="s">
        <v>610</v>
      </c>
      <c r="D87" s="105">
        <v>220</v>
      </c>
      <c r="E87" s="413">
        <f>D87/'12 - Equity Statement'!$L$10</f>
        <v>35.23438876343311</v>
      </c>
      <c r="F87" s="92" t="s">
        <v>403</v>
      </c>
      <c r="G87" s="91" t="s">
        <v>114</v>
      </c>
      <c r="H87" s="355" t="s">
        <v>1071</v>
      </c>
      <c r="I87" s="91" t="s">
        <v>1110</v>
      </c>
      <c r="J87" s="92" t="s">
        <v>188</v>
      </c>
      <c r="K87" s="356" t="s">
        <v>29</v>
      </c>
      <c r="L87" s="416"/>
    </row>
    <row r="88" spans="1:12" ht="15">
      <c r="A88" s="219">
        <v>3574</v>
      </c>
      <c r="B88" s="106">
        <v>41366</v>
      </c>
      <c r="C88" s="92" t="s">
        <v>611</v>
      </c>
      <c r="D88" s="423"/>
      <c r="E88" s="413">
        <v>843.46</v>
      </c>
      <c r="F88" s="92" t="s">
        <v>612</v>
      </c>
      <c r="G88" s="92" t="s">
        <v>111</v>
      </c>
      <c r="H88" s="355" t="s">
        <v>118</v>
      </c>
      <c r="I88" s="91" t="s">
        <v>1110</v>
      </c>
      <c r="J88" s="92" t="s">
        <v>102</v>
      </c>
      <c r="K88" s="355" t="s">
        <v>26</v>
      </c>
      <c r="L88" s="416"/>
    </row>
    <row r="89" spans="1:12" ht="15">
      <c r="A89" s="219">
        <v>3577</v>
      </c>
      <c r="B89" s="106">
        <v>41366</v>
      </c>
      <c r="C89" s="92" t="s">
        <v>739</v>
      </c>
      <c r="D89" s="423"/>
      <c r="E89" s="413">
        <v>34.72</v>
      </c>
      <c r="F89" s="92" t="s">
        <v>740</v>
      </c>
      <c r="G89" s="91" t="s">
        <v>132</v>
      </c>
      <c r="H89" s="355" t="s">
        <v>1071</v>
      </c>
      <c r="I89" s="91" t="s">
        <v>1110</v>
      </c>
      <c r="J89" s="92" t="s">
        <v>102</v>
      </c>
      <c r="K89" s="356" t="s">
        <v>29</v>
      </c>
      <c r="L89" s="416"/>
    </row>
    <row r="90" spans="1:12" ht="15">
      <c r="A90" s="219">
        <v>3575</v>
      </c>
      <c r="B90" s="106">
        <v>41366</v>
      </c>
      <c r="C90" s="92" t="s">
        <v>613</v>
      </c>
      <c r="D90" s="423"/>
      <c r="E90" s="413">
        <v>7.95</v>
      </c>
      <c r="F90" s="92" t="s">
        <v>738</v>
      </c>
      <c r="G90" s="92" t="s">
        <v>106</v>
      </c>
      <c r="H90" s="355" t="s">
        <v>1071</v>
      </c>
      <c r="I90" s="91" t="s">
        <v>1110</v>
      </c>
      <c r="J90" s="92" t="s">
        <v>102</v>
      </c>
      <c r="K90" s="355" t="s">
        <v>34</v>
      </c>
      <c r="L90" s="416"/>
    </row>
    <row r="91" spans="1:12" ht="15">
      <c r="A91" s="219">
        <v>3581</v>
      </c>
      <c r="B91" s="106">
        <v>41367</v>
      </c>
      <c r="C91" s="92" t="s">
        <v>741</v>
      </c>
      <c r="D91" s="423"/>
      <c r="E91" s="413">
        <v>40</v>
      </c>
      <c r="F91" s="92" t="s">
        <v>615</v>
      </c>
      <c r="G91" s="91" t="s">
        <v>132</v>
      </c>
      <c r="H91" s="355" t="s">
        <v>1071</v>
      </c>
      <c r="I91" s="91" t="s">
        <v>1110</v>
      </c>
      <c r="J91" s="92" t="s">
        <v>102</v>
      </c>
      <c r="K91" s="356" t="s">
        <v>39</v>
      </c>
      <c r="L91" s="416"/>
    </row>
    <row r="92" spans="1:12" ht="15">
      <c r="A92" s="219">
        <v>3576</v>
      </c>
      <c r="B92" s="106">
        <v>41368</v>
      </c>
      <c r="C92" s="92" t="s">
        <v>519</v>
      </c>
      <c r="D92" s="423"/>
      <c r="E92" s="413">
        <v>28.85</v>
      </c>
      <c r="F92" s="92" t="s">
        <v>520</v>
      </c>
      <c r="G92" s="92" t="s">
        <v>106</v>
      </c>
      <c r="H92" s="355" t="s">
        <v>1071</v>
      </c>
      <c r="I92" s="91" t="s">
        <v>1110</v>
      </c>
      <c r="J92" s="92" t="s">
        <v>102</v>
      </c>
      <c r="K92" s="355" t="s">
        <v>34</v>
      </c>
      <c r="L92" s="416"/>
    </row>
    <row r="93" spans="1:12" ht="15">
      <c r="A93" s="219">
        <v>3601</v>
      </c>
      <c r="B93" s="106">
        <v>41368</v>
      </c>
      <c r="C93" s="92" t="s">
        <v>450</v>
      </c>
      <c r="D93" s="423"/>
      <c r="E93" s="413">
        <v>30.42</v>
      </c>
      <c r="F93" s="92" t="s">
        <v>363</v>
      </c>
      <c r="G93" s="268" t="s">
        <v>1083</v>
      </c>
      <c r="H93" s="355" t="s">
        <v>1071</v>
      </c>
      <c r="I93" s="91" t="s">
        <v>1110</v>
      </c>
      <c r="J93" s="92" t="s">
        <v>290</v>
      </c>
      <c r="K93" s="355" t="s">
        <v>41</v>
      </c>
      <c r="L93" s="416"/>
    </row>
    <row r="94" spans="1:12" ht="15">
      <c r="A94" s="219">
        <v>3578</v>
      </c>
      <c r="B94" s="106">
        <v>41369</v>
      </c>
      <c r="C94" s="92" t="s">
        <v>521</v>
      </c>
      <c r="D94" s="423"/>
      <c r="E94" s="413">
        <v>205.53</v>
      </c>
      <c r="F94" s="92" t="s">
        <v>522</v>
      </c>
      <c r="G94" s="91" t="s">
        <v>132</v>
      </c>
      <c r="H94" s="355" t="s">
        <v>1071</v>
      </c>
      <c r="I94" s="91" t="s">
        <v>1110</v>
      </c>
      <c r="J94" s="92" t="s">
        <v>102</v>
      </c>
      <c r="K94" s="356" t="s">
        <v>39</v>
      </c>
      <c r="L94" s="416"/>
    </row>
    <row r="95" spans="1:12" ht="15">
      <c r="A95" s="219">
        <v>3579</v>
      </c>
      <c r="B95" s="106">
        <v>41370</v>
      </c>
      <c r="C95" s="92" t="s">
        <v>523</v>
      </c>
      <c r="D95" s="423"/>
      <c r="E95" s="413">
        <v>132.41999999999999</v>
      </c>
      <c r="F95" s="92" t="s">
        <v>524</v>
      </c>
      <c r="G95" s="91" t="s">
        <v>132</v>
      </c>
      <c r="H95" s="355" t="s">
        <v>1071</v>
      </c>
      <c r="I95" s="91" t="s">
        <v>1110</v>
      </c>
      <c r="J95" s="92" t="s">
        <v>102</v>
      </c>
      <c r="K95" s="356" t="s">
        <v>29</v>
      </c>
      <c r="L95" s="416"/>
    </row>
    <row r="96" spans="1:12" ht="15">
      <c r="A96" s="219">
        <v>3580</v>
      </c>
      <c r="B96" s="106">
        <v>41372</v>
      </c>
      <c r="C96" s="92" t="s">
        <v>525</v>
      </c>
      <c r="D96" s="423"/>
      <c r="E96" s="413">
        <v>40</v>
      </c>
      <c r="F96" s="92" t="s">
        <v>526</v>
      </c>
      <c r="G96" s="91" t="s">
        <v>132</v>
      </c>
      <c r="H96" s="355" t="s">
        <v>1071</v>
      </c>
      <c r="I96" s="91" t="s">
        <v>1110</v>
      </c>
      <c r="J96" s="92" t="s">
        <v>102</v>
      </c>
      <c r="K96" s="355" t="s">
        <v>29</v>
      </c>
      <c r="L96" s="416"/>
    </row>
    <row r="97" spans="1:12" ht="15">
      <c r="A97" s="219">
        <v>3583</v>
      </c>
      <c r="B97" s="106">
        <v>41372</v>
      </c>
      <c r="C97" s="92" t="s">
        <v>525</v>
      </c>
      <c r="D97" s="423"/>
      <c r="E97" s="413">
        <v>32.4</v>
      </c>
      <c r="F97" s="92" t="s">
        <v>518</v>
      </c>
      <c r="G97" s="91" t="s">
        <v>132</v>
      </c>
      <c r="H97" s="355" t="s">
        <v>1071</v>
      </c>
      <c r="I97" s="91" t="s">
        <v>1110</v>
      </c>
      <c r="J97" s="92" t="s">
        <v>102</v>
      </c>
      <c r="K97" s="355" t="s">
        <v>29</v>
      </c>
      <c r="L97" s="416"/>
    </row>
    <row r="98" spans="1:12" ht="15">
      <c r="A98" s="219">
        <v>3582</v>
      </c>
      <c r="B98" s="106">
        <v>41372</v>
      </c>
      <c r="C98" s="92" t="s">
        <v>516</v>
      </c>
      <c r="D98" s="423"/>
      <c r="E98" s="413">
        <v>52.31</v>
      </c>
      <c r="F98" s="92" t="s">
        <v>517</v>
      </c>
      <c r="G98" s="92" t="s">
        <v>106</v>
      </c>
      <c r="H98" s="355" t="s">
        <v>1071</v>
      </c>
      <c r="I98" s="91" t="s">
        <v>1110</v>
      </c>
      <c r="J98" s="92" t="s">
        <v>102</v>
      </c>
      <c r="K98" s="355" t="s">
        <v>34</v>
      </c>
      <c r="L98" s="416"/>
    </row>
    <row r="99" spans="1:12">
      <c r="A99" s="219">
        <v>3559</v>
      </c>
      <c r="B99" s="106">
        <v>41373</v>
      </c>
      <c r="C99" s="92" t="s">
        <v>419</v>
      </c>
      <c r="D99" s="105">
        <v>480</v>
      </c>
      <c r="E99" s="413">
        <f>D99/'12 - Equity Statement'!$L$10</f>
        <v>76.875030029308604</v>
      </c>
      <c r="F99" s="92" t="s">
        <v>409</v>
      </c>
      <c r="G99" s="91" t="s">
        <v>52</v>
      </c>
      <c r="H99" s="356" t="s">
        <v>119</v>
      </c>
      <c r="I99" s="91" t="s">
        <v>1109</v>
      </c>
      <c r="J99" s="92" t="s">
        <v>292</v>
      </c>
      <c r="K99" s="355"/>
      <c r="L99" s="416"/>
    </row>
    <row r="100" spans="1:12">
      <c r="A100" s="219">
        <v>3560</v>
      </c>
      <c r="B100" s="106">
        <v>41373</v>
      </c>
      <c r="C100" s="92" t="s">
        <v>429</v>
      </c>
      <c r="D100" s="105">
        <v>480</v>
      </c>
      <c r="E100" s="413">
        <f>D100/'12 - Equity Statement'!$L$10</f>
        <v>76.875030029308604</v>
      </c>
      <c r="F100" s="92" t="s">
        <v>409</v>
      </c>
      <c r="G100" s="91" t="s">
        <v>52</v>
      </c>
      <c r="H100" s="355" t="s">
        <v>1071</v>
      </c>
      <c r="I100" s="91" t="s">
        <v>1109</v>
      </c>
      <c r="J100" s="92" t="s">
        <v>292</v>
      </c>
      <c r="K100" s="356" t="s">
        <v>29</v>
      </c>
      <c r="L100" s="416"/>
    </row>
    <row r="101" spans="1:12">
      <c r="A101" s="219">
        <v>3558</v>
      </c>
      <c r="B101" s="106">
        <v>41373</v>
      </c>
      <c r="C101" s="92" t="s">
        <v>418</v>
      </c>
      <c r="D101" s="105">
        <v>488.56</v>
      </c>
      <c r="E101" s="413">
        <f>D101/'12 - Equity Statement'!$L$10</f>
        <v>78.245968064831274</v>
      </c>
      <c r="F101" s="92" t="s">
        <v>181</v>
      </c>
      <c r="G101" s="91" t="s">
        <v>114</v>
      </c>
      <c r="H101" s="355" t="s">
        <v>118</v>
      </c>
      <c r="I101" s="91" t="s">
        <v>1109</v>
      </c>
      <c r="J101" s="92" t="s">
        <v>292</v>
      </c>
      <c r="K101" s="355" t="s">
        <v>23</v>
      </c>
      <c r="L101" s="416"/>
    </row>
    <row r="102" spans="1:12">
      <c r="A102" s="219">
        <v>3534</v>
      </c>
      <c r="B102" s="106">
        <v>41373</v>
      </c>
      <c r="C102" s="92" t="s">
        <v>180</v>
      </c>
      <c r="D102" s="105">
        <v>40</v>
      </c>
      <c r="E102" s="413">
        <f>D102/'12 - Equity Statement'!$L$10</f>
        <v>6.406252502442384</v>
      </c>
      <c r="F102" s="92" t="s">
        <v>403</v>
      </c>
      <c r="G102" s="91" t="s">
        <v>114</v>
      </c>
      <c r="H102" s="355" t="s">
        <v>1071</v>
      </c>
      <c r="I102" s="91" t="s">
        <v>1110</v>
      </c>
      <c r="J102" s="92" t="s">
        <v>188</v>
      </c>
      <c r="K102" s="356" t="s">
        <v>34</v>
      </c>
      <c r="L102" s="416"/>
    </row>
    <row r="103" spans="1:12">
      <c r="A103" s="219">
        <v>3538</v>
      </c>
      <c r="B103" s="106">
        <v>41373</v>
      </c>
      <c r="C103" s="92" t="s">
        <v>417</v>
      </c>
      <c r="D103" s="105">
        <v>120</v>
      </c>
      <c r="E103" s="413">
        <f>D103/'12 - Equity Statement'!$L$10</f>
        <v>19.218757507327151</v>
      </c>
      <c r="F103" s="92" t="s">
        <v>403</v>
      </c>
      <c r="G103" s="91" t="s">
        <v>114</v>
      </c>
      <c r="H103" s="355" t="s">
        <v>1071</v>
      </c>
      <c r="I103" s="91" t="s">
        <v>1110</v>
      </c>
      <c r="J103" s="92" t="s">
        <v>188</v>
      </c>
      <c r="K103" s="356" t="s">
        <v>29</v>
      </c>
      <c r="L103" s="416"/>
    </row>
    <row r="104" spans="1:12">
      <c r="A104" s="219">
        <v>3536</v>
      </c>
      <c r="B104" s="106">
        <v>41373</v>
      </c>
      <c r="C104" s="92" t="s">
        <v>426</v>
      </c>
      <c r="D104" s="105">
        <v>105</v>
      </c>
      <c r="E104" s="413">
        <f>D104/'12 - Equity Statement'!$L$10</f>
        <v>16.816412818911257</v>
      </c>
      <c r="F104" s="92" t="s">
        <v>403</v>
      </c>
      <c r="G104" s="268" t="s">
        <v>106</v>
      </c>
      <c r="H104" s="355" t="s">
        <v>1071</v>
      </c>
      <c r="I104" s="268" t="s">
        <v>1109</v>
      </c>
      <c r="J104" s="92" t="s">
        <v>188</v>
      </c>
      <c r="K104" s="355" t="s">
        <v>34</v>
      </c>
      <c r="L104" s="416"/>
    </row>
    <row r="105" spans="1:12">
      <c r="A105" s="219">
        <v>3535</v>
      </c>
      <c r="B105" s="106">
        <v>41373</v>
      </c>
      <c r="C105" s="92" t="s">
        <v>425</v>
      </c>
      <c r="D105" s="105">
        <v>79</v>
      </c>
      <c r="E105" s="413">
        <f>D105/'12 - Equity Statement'!$L$10</f>
        <v>12.652348692323708</v>
      </c>
      <c r="F105" s="92" t="s">
        <v>403</v>
      </c>
      <c r="G105" s="268" t="s">
        <v>106</v>
      </c>
      <c r="H105" s="355" t="s">
        <v>1071</v>
      </c>
      <c r="I105" s="91" t="s">
        <v>1110</v>
      </c>
      <c r="J105" s="92" t="s">
        <v>188</v>
      </c>
      <c r="K105" s="355" t="s">
        <v>34</v>
      </c>
      <c r="L105" s="416"/>
    </row>
    <row r="106" spans="1:12">
      <c r="A106" s="219">
        <v>3533</v>
      </c>
      <c r="B106" s="106">
        <v>41373</v>
      </c>
      <c r="C106" s="92" t="s">
        <v>424</v>
      </c>
      <c r="D106" s="105">
        <v>85</v>
      </c>
      <c r="E106" s="413">
        <f>D106/'12 - Equity Statement'!$L$10</f>
        <v>13.613286567690066</v>
      </c>
      <c r="F106" s="92" t="s">
        <v>403</v>
      </c>
      <c r="G106" s="268" t="s">
        <v>106</v>
      </c>
      <c r="H106" s="355" t="s">
        <v>1071</v>
      </c>
      <c r="I106" s="91" t="s">
        <v>1110</v>
      </c>
      <c r="J106" s="92" t="s">
        <v>188</v>
      </c>
      <c r="K106" s="355" t="s">
        <v>34</v>
      </c>
      <c r="L106" s="416"/>
    </row>
    <row r="107" spans="1:12">
      <c r="A107" s="219">
        <v>3537</v>
      </c>
      <c r="B107" s="106">
        <v>41374</v>
      </c>
      <c r="C107" s="92" t="s">
        <v>430</v>
      </c>
      <c r="D107" s="105">
        <v>200</v>
      </c>
      <c r="E107" s="413">
        <f>D107/'12 - Equity Statement'!$L$10</f>
        <v>32.031262512211917</v>
      </c>
      <c r="F107" s="92" t="s">
        <v>264</v>
      </c>
      <c r="G107" s="91" t="s">
        <v>114</v>
      </c>
      <c r="H107" s="355" t="s">
        <v>118</v>
      </c>
      <c r="I107" s="91" t="s">
        <v>1110</v>
      </c>
      <c r="J107" s="92" t="s">
        <v>188</v>
      </c>
      <c r="K107" s="355" t="s">
        <v>23</v>
      </c>
      <c r="L107" s="416"/>
    </row>
    <row r="108" spans="1:12">
      <c r="A108" s="219">
        <v>3542</v>
      </c>
      <c r="B108" s="106">
        <v>41374</v>
      </c>
      <c r="C108" s="92" t="s">
        <v>180</v>
      </c>
      <c r="D108" s="105">
        <v>75</v>
      </c>
      <c r="E108" s="413">
        <f>D108/'12 - Equity Statement'!$L$10</f>
        <v>12.01172344207947</v>
      </c>
      <c r="F108" s="92" t="s">
        <v>403</v>
      </c>
      <c r="G108" s="91" t="s">
        <v>114</v>
      </c>
      <c r="H108" s="355" t="s">
        <v>1071</v>
      </c>
      <c r="I108" s="91" t="s">
        <v>1110</v>
      </c>
      <c r="J108" s="92" t="s">
        <v>188</v>
      </c>
      <c r="K108" s="356" t="s">
        <v>34</v>
      </c>
      <c r="L108" s="416"/>
    </row>
    <row r="109" spans="1:12">
      <c r="A109" s="219">
        <v>3552</v>
      </c>
      <c r="B109" s="106">
        <v>41374</v>
      </c>
      <c r="C109" s="92" t="s">
        <v>453</v>
      </c>
      <c r="D109" s="105">
        <v>178.6</v>
      </c>
      <c r="E109" s="413">
        <f>D109/'12 - Equity Statement'!$L$10</f>
        <v>28.603917423405242</v>
      </c>
      <c r="F109" s="92" t="s">
        <v>302</v>
      </c>
      <c r="G109" s="91" t="s">
        <v>114</v>
      </c>
      <c r="H109" s="355" t="s">
        <v>1071</v>
      </c>
      <c r="I109" s="91" t="s">
        <v>1110</v>
      </c>
      <c r="J109" s="92" t="s">
        <v>101</v>
      </c>
      <c r="K109" s="356" t="s">
        <v>29</v>
      </c>
      <c r="L109" s="416"/>
    </row>
    <row r="110" spans="1:12">
      <c r="A110" s="219">
        <v>3539</v>
      </c>
      <c r="B110" s="106">
        <v>41374</v>
      </c>
      <c r="C110" s="92" t="s">
        <v>431</v>
      </c>
      <c r="D110" s="105">
        <v>69.2</v>
      </c>
      <c r="E110" s="413">
        <f>D110/'12 - Equity Statement'!$L$10</f>
        <v>11.082816829225324</v>
      </c>
      <c r="F110" s="92" t="s">
        <v>403</v>
      </c>
      <c r="G110" s="91" t="s">
        <v>114</v>
      </c>
      <c r="H110" s="355" t="s">
        <v>1071</v>
      </c>
      <c r="I110" s="268" t="s">
        <v>1109</v>
      </c>
      <c r="J110" s="92" t="s">
        <v>188</v>
      </c>
      <c r="K110" s="356" t="s">
        <v>29</v>
      </c>
      <c r="L110" s="416"/>
    </row>
    <row r="111" spans="1:12">
      <c r="A111" s="219">
        <v>3550</v>
      </c>
      <c r="B111" s="106">
        <v>41374</v>
      </c>
      <c r="C111" s="92" t="s">
        <v>451</v>
      </c>
      <c r="D111" s="105">
        <v>4000</v>
      </c>
      <c r="E111" s="413">
        <f>D111/'12 - Equity Statement'!$L$10</f>
        <v>640.62525024423837</v>
      </c>
      <c r="F111" s="92" t="s">
        <v>331</v>
      </c>
      <c r="G111" s="92" t="s">
        <v>113</v>
      </c>
      <c r="H111" s="355" t="s">
        <v>1071</v>
      </c>
      <c r="I111" s="91" t="s">
        <v>1110</v>
      </c>
      <c r="J111" s="92" t="s">
        <v>101</v>
      </c>
      <c r="K111" s="356" t="s">
        <v>34</v>
      </c>
      <c r="L111" s="416"/>
    </row>
    <row r="112" spans="1:12">
      <c r="A112" s="219">
        <v>3551</v>
      </c>
      <c r="B112" s="106">
        <v>41374</v>
      </c>
      <c r="C112" s="92" t="s">
        <v>452</v>
      </c>
      <c r="D112" s="105">
        <v>28</v>
      </c>
      <c r="E112" s="413">
        <f>D112/'12 - Equity Statement'!$L$10</f>
        <v>4.4843767517096689</v>
      </c>
      <c r="F112" s="92" t="s">
        <v>354</v>
      </c>
      <c r="G112" s="92" t="s">
        <v>113</v>
      </c>
      <c r="H112" s="355" t="s">
        <v>1071</v>
      </c>
      <c r="I112" s="91" t="s">
        <v>1110</v>
      </c>
      <c r="J112" s="92" t="s">
        <v>101</v>
      </c>
      <c r="K112" s="356" t="s">
        <v>34</v>
      </c>
      <c r="L112" s="416"/>
    </row>
    <row r="113" spans="1:12">
      <c r="A113" s="219">
        <v>3540</v>
      </c>
      <c r="B113" s="106">
        <v>41374</v>
      </c>
      <c r="C113" s="92" t="s">
        <v>432</v>
      </c>
      <c r="D113" s="105">
        <v>10</v>
      </c>
      <c r="E113" s="413">
        <f>D113/'12 - Equity Statement'!$L$10</f>
        <v>1.601563125610596</v>
      </c>
      <c r="F113" s="92" t="s">
        <v>510</v>
      </c>
      <c r="G113" s="91" t="s">
        <v>132</v>
      </c>
      <c r="H113" s="355" t="s">
        <v>1071</v>
      </c>
      <c r="I113" s="91" t="s">
        <v>1110</v>
      </c>
      <c r="J113" s="92" t="s">
        <v>188</v>
      </c>
      <c r="K113" s="356" t="s">
        <v>34</v>
      </c>
      <c r="L113" s="416"/>
    </row>
    <row r="114" spans="1:12">
      <c r="A114" s="219">
        <v>3549</v>
      </c>
      <c r="B114" s="106">
        <v>41374</v>
      </c>
      <c r="C114" s="92" t="s">
        <v>330</v>
      </c>
      <c r="D114" s="105">
        <v>43</v>
      </c>
      <c r="E114" s="413">
        <f>D114/'12 - Equity Statement'!$L$10</f>
        <v>6.8867214401255623</v>
      </c>
      <c r="F114" s="92" t="s">
        <v>179</v>
      </c>
      <c r="G114" s="91" t="s">
        <v>132</v>
      </c>
      <c r="H114" s="355" t="s">
        <v>1071</v>
      </c>
      <c r="I114" s="268" t="s">
        <v>1109</v>
      </c>
      <c r="J114" s="92" t="s">
        <v>188</v>
      </c>
      <c r="K114" s="355" t="s">
        <v>29</v>
      </c>
      <c r="L114" s="416"/>
    </row>
    <row r="115" spans="1:12">
      <c r="A115" s="219">
        <v>3541</v>
      </c>
      <c r="B115" s="106">
        <v>41374</v>
      </c>
      <c r="C115" s="92" t="s">
        <v>433</v>
      </c>
      <c r="D115" s="105">
        <v>30</v>
      </c>
      <c r="E115" s="413">
        <f>D115/'12 - Equity Statement'!$L$10</f>
        <v>4.8046893768317878</v>
      </c>
      <c r="F115" s="92" t="s">
        <v>403</v>
      </c>
      <c r="G115" s="268" t="s">
        <v>106</v>
      </c>
      <c r="H115" s="355" t="s">
        <v>1071</v>
      </c>
      <c r="I115" s="91" t="s">
        <v>1110</v>
      </c>
      <c r="J115" s="92" t="s">
        <v>188</v>
      </c>
      <c r="K115" s="355" t="s">
        <v>34</v>
      </c>
      <c r="L115" s="416"/>
    </row>
    <row r="116" spans="1:12">
      <c r="A116" s="219">
        <v>3547</v>
      </c>
      <c r="B116" s="106">
        <v>41375</v>
      </c>
      <c r="C116" s="92" t="s">
        <v>454</v>
      </c>
      <c r="D116" s="105">
        <v>5120</v>
      </c>
      <c r="E116" s="413">
        <f>D116/'12 - Equity Statement'!$L$10</f>
        <v>820.00032031262515</v>
      </c>
      <c r="F116" s="92" t="s">
        <v>544</v>
      </c>
      <c r="G116" s="92" t="s">
        <v>106</v>
      </c>
      <c r="H116" s="356" t="s">
        <v>119</v>
      </c>
      <c r="I116" s="268" t="s">
        <v>1109</v>
      </c>
      <c r="J116" s="92" t="s">
        <v>188</v>
      </c>
      <c r="K116" s="355"/>
      <c r="L116" s="416"/>
    </row>
    <row r="117" spans="1:12">
      <c r="A117" s="219">
        <v>3544</v>
      </c>
      <c r="B117" s="106">
        <v>41375</v>
      </c>
      <c r="C117" s="92" t="s">
        <v>436</v>
      </c>
      <c r="D117" s="105">
        <v>40</v>
      </c>
      <c r="E117" s="413">
        <f>D117/'12 - Equity Statement'!$L$10</f>
        <v>6.406252502442384</v>
      </c>
      <c r="F117" s="92" t="s">
        <v>403</v>
      </c>
      <c r="G117" s="92" t="s">
        <v>106</v>
      </c>
      <c r="H117" s="356" t="s">
        <v>119</v>
      </c>
      <c r="I117" s="91" t="s">
        <v>1110</v>
      </c>
      <c r="J117" s="92" t="s">
        <v>188</v>
      </c>
      <c r="K117" s="355"/>
      <c r="L117" s="416"/>
    </row>
    <row r="118" spans="1:12">
      <c r="A118" s="219">
        <v>3543</v>
      </c>
      <c r="B118" s="106">
        <v>41375</v>
      </c>
      <c r="C118" s="92" t="s">
        <v>435</v>
      </c>
      <c r="D118" s="105">
        <v>50</v>
      </c>
      <c r="E118" s="413">
        <f>D118/'12 - Equity Statement'!$L$10</f>
        <v>8.0078156280529793</v>
      </c>
      <c r="F118" s="92" t="s">
        <v>403</v>
      </c>
      <c r="G118" s="92" t="s">
        <v>106</v>
      </c>
      <c r="H118" s="356" t="s">
        <v>119</v>
      </c>
      <c r="I118" s="91" t="s">
        <v>1110</v>
      </c>
      <c r="J118" s="92" t="s">
        <v>188</v>
      </c>
      <c r="K118" s="355"/>
      <c r="L118" s="416"/>
    </row>
    <row r="119" spans="1:12">
      <c r="A119" s="219">
        <v>3545</v>
      </c>
      <c r="B119" s="106">
        <v>41375</v>
      </c>
      <c r="C119" s="92" t="s">
        <v>543</v>
      </c>
      <c r="D119" s="105">
        <v>50</v>
      </c>
      <c r="E119" s="413">
        <f>D119/'12 - Equity Statement'!$L$10</f>
        <v>8.0078156280529793</v>
      </c>
      <c r="F119" s="92" t="s">
        <v>403</v>
      </c>
      <c r="G119" s="92" t="s">
        <v>106</v>
      </c>
      <c r="H119" s="356" t="s">
        <v>119</v>
      </c>
      <c r="I119" s="91" t="s">
        <v>1110</v>
      </c>
      <c r="J119" s="92" t="s">
        <v>188</v>
      </c>
      <c r="K119" s="355"/>
      <c r="L119" s="416"/>
    </row>
    <row r="120" spans="1:12">
      <c r="A120" s="219">
        <v>3554</v>
      </c>
      <c r="B120" s="106">
        <v>41376</v>
      </c>
      <c r="C120" s="92" t="s">
        <v>733</v>
      </c>
      <c r="D120" s="105">
        <v>22</v>
      </c>
      <c r="E120" s="413">
        <f>D120/'12 - Equity Statement'!$L$10</f>
        <v>3.5234388763433109</v>
      </c>
      <c r="F120" s="92" t="s">
        <v>609</v>
      </c>
      <c r="G120" s="91" t="s">
        <v>114</v>
      </c>
      <c r="H120" s="355" t="s">
        <v>118</v>
      </c>
      <c r="I120" s="268" t="s">
        <v>1109</v>
      </c>
      <c r="J120" s="92" t="s">
        <v>188</v>
      </c>
      <c r="K120" s="355" t="s">
        <v>23</v>
      </c>
      <c r="L120" s="416"/>
    </row>
    <row r="121" spans="1:12">
      <c r="A121" s="219">
        <v>3555</v>
      </c>
      <c r="B121" s="106">
        <v>41376</v>
      </c>
      <c r="C121" s="92" t="s">
        <v>180</v>
      </c>
      <c r="D121" s="105">
        <v>75</v>
      </c>
      <c r="E121" s="413">
        <f>D121/'12 - Equity Statement'!$L$10</f>
        <v>12.01172344207947</v>
      </c>
      <c r="F121" s="92" t="s">
        <v>403</v>
      </c>
      <c r="G121" s="91" t="s">
        <v>114</v>
      </c>
      <c r="H121" s="356" t="s">
        <v>119</v>
      </c>
      <c r="I121" s="91" t="s">
        <v>1110</v>
      </c>
      <c r="J121" s="92" t="s">
        <v>188</v>
      </c>
      <c r="K121" s="355"/>
      <c r="L121" s="416"/>
    </row>
    <row r="122" spans="1:12">
      <c r="A122" s="219">
        <v>3553</v>
      </c>
      <c r="B122" s="106">
        <v>41376</v>
      </c>
      <c r="C122" s="92" t="s">
        <v>546</v>
      </c>
      <c r="D122" s="105">
        <v>25</v>
      </c>
      <c r="E122" s="413">
        <f>D122/'12 - Equity Statement'!$L$10</f>
        <v>4.0039078140264897</v>
      </c>
      <c r="F122" s="92" t="s">
        <v>510</v>
      </c>
      <c r="G122" s="91" t="s">
        <v>132</v>
      </c>
      <c r="H122" s="355" t="s">
        <v>1071</v>
      </c>
      <c r="I122" s="91" t="s">
        <v>1110</v>
      </c>
      <c r="J122" s="92" t="s">
        <v>188</v>
      </c>
      <c r="K122" s="356" t="s">
        <v>29</v>
      </c>
      <c r="L122" s="416"/>
    </row>
    <row r="123" spans="1:12">
      <c r="A123" s="219">
        <v>3548</v>
      </c>
      <c r="B123" s="106">
        <v>41376</v>
      </c>
      <c r="C123" s="92" t="s">
        <v>545</v>
      </c>
      <c r="D123" s="105">
        <v>38</v>
      </c>
      <c r="E123" s="413">
        <f>D123/'12 - Equity Statement'!$L$10</f>
        <v>6.0859398773202642</v>
      </c>
      <c r="F123" s="92" t="s">
        <v>179</v>
      </c>
      <c r="G123" s="91" t="s">
        <v>132</v>
      </c>
      <c r="H123" s="355" t="s">
        <v>1071</v>
      </c>
      <c r="I123" s="268" t="s">
        <v>1109</v>
      </c>
      <c r="J123" s="92" t="s">
        <v>188</v>
      </c>
      <c r="K123" s="355" t="s">
        <v>29</v>
      </c>
      <c r="L123" s="416"/>
    </row>
    <row r="124" spans="1:12" ht="15">
      <c r="A124" s="219">
        <v>3584</v>
      </c>
      <c r="B124" s="106">
        <v>41376</v>
      </c>
      <c r="C124" s="92" t="s">
        <v>635</v>
      </c>
      <c r="D124" s="423"/>
      <c r="E124" s="413">
        <v>24.2</v>
      </c>
      <c r="F124" s="92" t="s">
        <v>636</v>
      </c>
      <c r="G124" s="92" t="s">
        <v>106</v>
      </c>
      <c r="H124" s="355" t="s">
        <v>1071</v>
      </c>
      <c r="I124" s="91" t="s">
        <v>1110</v>
      </c>
      <c r="J124" s="92" t="s">
        <v>102</v>
      </c>
      <c r="K124" s="355" t="s">
        <v>34</v>
      </c>
      <c r="L124" s="416"/>
    </row>
    <row r="125" spans="1:12">
      <c r="A125" s="219">
        <v>3600</v>
      </c>
      <c r="B125" s="106">
        <v>41377</v>
      </c>
      <c r="C125" s="92" t="s">
        <v>328</v>
      </c>
      <c r="D125" s="105">
        <v>4000</v>
      </c>
      <c r="E125" s="413">
        <f>D125/'12 - Equity Statement'!$L$10</f>
        <v>640.62525024423837</v>
      </c>
      <c r="F125" s="92" t="s">
        <v>637</v>
      </c>
      <c r="G125" s="92" t="s">
        <v>111</v>
      </c>
      <c r="H125" s="356" t="s">
        <v>119</v>
      </c>
      <c r="I125" s="91" t="s">
        <v>1110</v>
      </c>
      <c r="J125" s="92" t="s">
        <v>101</v>
      </c>
      <c r="K125" s="355"/>
      <c r="L125" s="416"/>
    </row>
    <row r="126" spans="1:12">
      <c r="A126" s="219">
        <v>3599</v>
      </c>
      <c r="B126" s="106">
        <v>41377</v>
      </c>
      <c r="C126" s="92" t="s">
        <v>455</v>
      </c>
      <c r="D126" s="105">
        <v>4380</v>
      </c>
      <c r="E126" s="413">
        <f>D126/'12 - Equity Statement'!$L$10</f>
        <v>701.48464901744103</v>
      </c>
      <c r="F126" s="92" t="s">
        <v>637</v>
      </c>
      <c r="G126" s="92" t="s">
        <v>111</v>
      </c>
      <c r="H126" s="356" t="s">
        <v>119</v>
      </c>
      <c r="I126" s="91" t="s">
        <v>1110</v>
      </c>
      <c r="J126" s="92" t="s">
        <v>101</v>
      </c>
      <c r="K126" s="355"/>
      <c r="L126" s="416"/>
    </row>
    <row r="127" spans="1:12">
      <c r="A127" s="219">
        <v>3556</v>
      </c>
      <c r="B127" s="106">
        <v>41378</v>
      </c>
      <c r="C127" s="92" t="s">
        <v>338</v>
      </c>
      <c r="D127" s="105">
        <v>1014</v>
      </c>
      <c r="E127" s="413">
        <f>D127/'12 - Equity Statement'!$L$10</f>
        <v>162.39850093691442</v>
      </c>
      <c r="F127" s="92" t="s">
        <v>638</v>
      </c>
      <c r="G127" s="91" t="s">
        <v>114</v>
      </c>
      <c r="H127" s="355" t="s">
        <v>1071</v>
      </c>
      <c r="I127" s="91" t="s">
        <v>1109</v>
      </c>
      <c r="J127" s="92" t="s">
        <v>101</v>
      </c>
      <c r="K127" s="356" t="s">
        <v>29</v>
      </c>
      <c r="L127" s="416"/>
    </row>
    <row r="128" spans="1:12">
      <c r="A128" s="219">
        <v>3564</v>
      </c>
      <c r="B128" s="106">
        <v>41379</v>
      </c>
      <c r="C128" s="92" t="s">
        <v>639</v>
      </c>
      <c r="D128" s="105">
        <v>170</v>
      </c>
      <c r="E128" s="413">
        <f>D128/'12 - Equity Statement'!$L$10</f>
        <v>27.226573135380132</v>
      </c>
      <c r="F128" s="92" t="s">
        <v>778</v>
      </c>
      <c r="G128" s="92" t="s">
        <v>106</v>
      </c>
      <c r="H128" s="355" t="s">
        <v>1071</v>
      </c>
      <c r="I128" s="91" t="s">
        <v>1110</v>
      </c>
      <c r="J128" s="92" t="s">
        <v>188</v>
      </c>
      <c r="K128" s="355" t="s">
        <v>34</v>
      </c>
      <c r="L128" s="416"/>
    </row>
    <row r="129" spans="1:13">
      <c r="A129" s="219">
        <v>3565</v>
      </c>
      <c r="B129" s="106">
        <v>41380</v>
      </c>
      <c r="C129" s="92" t="s">
        <v>779</v>
      </c>
      <c r="D129" s="105">
        <v>19</v>
      </c>
      <c r="E129" s="413">
        <f>D129/'12 - Equity Statement'!$L$10</f>
        <v>3.0429699386601321</v>
      </c>
      <c r="F129" s="92" t="s">
        <v>179</v>
      </c>
      <c r="G129" s="91" t="s">
        <v>132</v>
      </c>
      <c r="H129" s="355" t="s">
        <v>1071</v>
      </c>
      <c r="I129" s="91" t="s">
        <v>1109</v>
      </c>
      <c r="J129" s="92" t="s">
        <v>188</v>
      </c>
      <c r="K129" s="355" t="s">
        <v>29</v>
      </c>
      <c r="L129" s="416"/>
    </row>
    <row r="130" spans="1:13">
      <c r="A130" s="219">
        <v>3563</v>
      </c>
      <c r="B130" s="106">
        <v>41381</v>
      </c>
      <c r="C130" s="92" t="s">
        <v>180</v>
      </c>
      <c r="D130" s="105">
        <v>50</v>
      </c>
      <c r="E130" s="413">
        <f>D130/'12 - Equity Statement'!$L$10</f>
        <v>8.0078156280529793</v>
      </c>
      <c r="F130" s="92" t="s">
        <v>403</v>
      </c>
      <c r="G130" s="91" t="s">
        <v>114</v>
      </c>
      <c r="H130" s="355" t="s">
        <v>1071</v>
      </c>
      <c r="I130" s="91" t="s">
        <v>1110</v>
      </c>
      <c r="J130" s="92" t="s">
        <v>188</v>
      </c>
      <c r="K130" s="356" t="s">
        <v>34</v>
      </c>
      <c r="L130" s="416"/>
    </row>
    <row r="131" spans="1:13">
      <c r="A131" s="219">
        <v>3571</v>
      </c>
      <c r="B131" s="106">
        <v>41381</v>
      </c>
      <c r="C131" s="92" t="s">
        <v>569</v>
      </c>
      <c r="D131" s="105">
        <v>173.6</v>
      </c>
      <c r="E131" s="413">
        <f>D131/'12 - Equity Statement'!$L$10</f>
        <v>27.803135860599944</v>
      </c>
      <c r="F131" s="92" t="s">
        <v>563</v>
      </c>
      <c r="G131" s="91" t="s">
        <v>114</v>
      </c>
      <c r="H131" s="355" t="s">
        <v>118</v>
      </c>
      <c r="I131" s="91" t="s">
        <v>1109</v>
      </c>
      <c r="J131" s="92" t="s">
        <v>292</v>
      </c>
      <c r="K131" s="355" t="s">
        <v>23</v>
      </c>
      <c r="L131" s="416"/>
    </row>
    <row r="132" spans="1:13">
      <c r="A132" s="219">
        <v>3562</v>
      </c>
      <c r="B132" s="106">
        <v>41381</v>
      </c>
      <c r="C132" s="92" t="s">
        <v>734</v>
      </c>
      <c r="D132" s="105">
        <v>49</v>
      </c>
      <c r="E132" s="413">
        <f>D132/'12 - Equity Statement'!$L$10</f>
        <v>7.8476593154919199</v>
      </c>
      <c r="F132" s="92" t="s">
        <v>179</v>
      </c>
      <c r="G132" s="91" t="s">
        <v>132</v>
      </c>
      <c r="H132" s="355" t="s">
        <v>120</v>
      </c>
      <c r="I132" s="91" t="s">
        <v>1109</v>
      </c>
      <c r="J132" s="92" t="s">
        <v>188</v>
      </c>
      <c r="K132" s="355"/>
      <c r="L132" s="416"/>
    </row>
    <row r="133" spans="1:13">
      <c r="A133" s="219">
        <v>3572</v>
      </c>
      <c r="B133" s="106">
        <v>41382</v>
      </c>
      <c r="C133" s="92" t="s">
        <v>837</v>
      </c>
      <c r="D133" s="105">
        <v>955.68</v>
      </c>
      <c r="E133" s="413">
        <f>D133/'12 - Equity Statement'!$L$10</f>
        <v>153.05818478835343</v>
      </c>
      <c r="F133" s="92" t="s">
        <v>303</v>
      </c>
      <c r="G133" s="91" t="s">
        <v>116</v>
      </c>
      <c r="H133" s="356" t="s">
        <v>119</v>
      </c>
      <c r="I133" s="91" t="s">
        <v>1109</v>
      </c>
      <c r="J133" s="92" t="s">
        <v>292</v>
      </c>
      <c r="K133" s="355"/>
      <c r="L133" s="416"/>
    </row>
    <row r="134" spans="1:13">
      <c r="A134" s="219">
        <v>3567</v>
      </c>
      <c r="B134" s="106">
        <v>41382</v>
      </c>
      <c r="C134" s="92" t="s">
        <v>736</v>
      </c>
      <c r="D134" s="105">
        <v>120</v>
      </c>
      <c r="E134" s="413">
        <f>D134/'12 - Equity Statement'!$L$10</f>
        <v>19.218757507327151</v>
      </c>
      <c r="F134" s="92" t="s">
        <v>737</v>
      </c>
      <c r="G134" s="92" t="s">
        <v>108</v>
      </c>
      <c r="H134" s="355" t="s">
        <v>1071</v>
      </c>
      <c r="I134" s="268" t="s">
        <v>1109</v>
      </c>
      <c r="J134" s="92" t="s">
        <v>188</v>
      </c>
      <c r="K134" s="356" t="s">
        <v>29</v>
      </c>
      <c r="L134" s="416"/>
    </row>
    <row r="135" spans="1:13">
      <c r="A135" s="219">
        <v>3566</v>
      </c>
      <c r="B135" s="106">
        <v>41382</v>
      </c>
      <c r="C135" s="92" t="s">
        <v>735</v>
      </c>
      <c r="D135" s="105">
        <v>70</v>
      </c>
      <c r="E135" s="413">
        <f>D135/'12 - Equity Statement'!$L$10</f>
        <v>11.210941879274172</v>
      </c>
      <c r="F135" s="92" t="s">
        <v>510</v>
      </c>
      <c r="G135" s="91" t="s">
        <v>132</v>
      </c>
      <c r="H135" s="355" t="s">
        <v>1071</v>
      </c>
      <c r="I135" s="91" t="s">
        <v>1110</v>
      </c>
      <c r="J135" s="92" t="s">
        <v>188</v>
      </c>
      <c r="K135" s="356" t="s">
        <v>29</v>
      </c>
      <c r="L135" s="416"/>
    </row>
    <row r="136" spans="1:13" ht="15">
      <c r="A136" s="219">
        <v>3585</v>
      </c>
      <c r="B136" s="106">
        <v>41383</v>
      </c>
      <c r="C136" s="92" t="s">
        <v>838</v>
      </c>
      <c r="D136" s="423"/>
      <c r="E136" s="413">
        <v>70.150000000000006</v>
      </c>
      <c r="F136" s="92" t="s">
        <v>680</v>
      </c>
      <c r="G136" s="92" t="s">
        <v>106</v>
      </c>
      <c r="H136" s="355" t="s">
        <v>1071</v>
      </c>
      <c r="I136" s="268" t="s">
        <v>1109</v>
      </c>
      <c r="J136" s="92" t="s">
        <v>102</v>
      </c>
      <c r="K136" s="355" t="s">
        <v>34</v>
      </c>
      <c r="L136" s="416"/>
    </row>
    <row r="137" spans="1:13">
      <c r="A137" s="219">
        <v>3568</v>
      </c>
      <c r="B137" s="106">
        <v>41385</v>
      </c>
      <c r="C137" s="92" t="s">
        <v>681</v>
      </c>
      <c r="D137" s="105">
        <v>62</v>
      </c>
      <c r="E137" s="413">
        <f>D137/'12 - Equity Statement'!$L$10</f>
        <v>9.9296913787856944</v>
      </c>
      <c r="F137" s="92" t="s">
        <v>179</v>
      </c>
      <c r="G137" s="91" t="s">
        <v>132</v>
      </c>
      <c r="H137" s="355" t="s">
        <v>120</v>
      </c>
      <c r="I137" s="91" t="s">
        <v>1109</v>
      </c>
      <c r="J137" s="92" t="s">
        <v>188</v>
      </c>
      <c r="K137" s="355"/>
      <c r="L137" s="416"/>
    </row>
    <row r="138" spans="1:13">
      <c r="A138" s="219">
        <v>3570</v>
      </c>
      <c r="B138" s="106">
        <v>41386</v>
      </c>
      <c r="C138" s="92" t="s">
        <v>673</v>
      </c>
      <c r="D138" s="105">
        <v>53</v>
      </c>
      <c r="E138" s="413">
        <f>D138/'12 - Equity Statement'!$L$10</f>
        <v>8.4882845657361585</v>
      </c>
      <c r="F138" s="92" t="s">
        <v>403</v>
      </c>
      <c r="G138" s="91" t="s">
        <v>114</v>
      </c>
      <c r="H138" s="355" t="s">
        <v>1071</v>
      </c>
      <c r="I138" s="91" t="s">
        <v>1110</v>
      </c>
      <c r="J138" s="92" t="s">
        <v>188</v>
      </c>
      <c r="K138" s="356" t="s">
        <v>29</v>
      </c>
      <c r="L138" s="416"/>
    </row>
    <row r="139" spans="1:13">
      <c r="A139" s="219">
        <v>3569</v>
      </c>
      <c r="B139" s="106">
        <v>41386</v>
      </c>
      <c r="C139" s="92" t="s">
        <v>672</v>
      </c>
      <c r="D139" s="105">
        <v>75</v>
      </c>
      <c r="E139" s="413">
        <f>D139/'12 - Equity Statement'!$L$10</f>
        <v>12.01172344207947</v>
      </c>
      <c r="F139" s="92" t="s">
        <v>403</v>
      </c>
      <c r="G139" s="91" t="s">
        <v>114</v>
      </c>
      <c r="H139" s="355" t="s">
        <v>1071</v>
      </c>
      <c r="I139" s="91" t="s">
        <v>1110</v>
      </c>
      <c r="J139" s="92" t="s">
        <v>188</v>
      </c>
      <c r="K139" s="356" t="s">
        <v>29</v>
      </c>
      <c r="L139" s="416"/>
    </row>
    <row r="140" spans="1:13" ht="15">
      <c r="A140" s="219">
        <v>3586</v>
      </c>
      <c r="B140" s="106">
        <v>41387</v>
      </c>
      <c r="C140" s="92" t="s">
        <v>674</v>
      </c>
      <c r="D140" s="423"/>
      <c r="E140" s="413">
        <v>25</v>
      </c>
      <c r="F140" s="92" t="s">
        <v>675</v>
      </c>
      <c r="G140" s="91" t="s">
        <v>114</v>
      </c>
      <c r="H140" s="355" t="s">
        <v>1071</v>
      </c>
      <c r="I140" s="91" t="s">
        <v>1110</v>
      </c>
      <c r="J140" s="92" t="s">
        <v>102</v>
      </c>
      <c r="K140" s="356" t="s">
        <v>29</v>
      </c>
      <c r="L140" s="416"/>
    </row>
    <row r="141" spans="1:13">
      <c r="A141" s="219">
        <v>3587</v>
      </c>
      <c r="B141" s="106">
        <v>41390</v>
      </c>
      <c r="C141" s="92" t="s">
        <v>180</v>
      </c>
      <c r="D141" s="105">
        <v>50</v>
      </c>
      <c r="E141" s="413">
        <f>D141/'12 - Equity Statement'!$L$10</f>
        <v>8.0078156280529793</v>
      </c>
      <c r="F141" s="92" t="s">
        <v>403</v>
      </c>
      <c r="G141" s="91" t="s">
        <v>114</v>
      </c>
      <c r="H141" s="355" t="s">
        <v>1071</v>
      </c>
      <c r="I141" s="91" t="s">
        <v>1110</v>
      </c>
      <c r="J141" s="92" t="s">
        <v>188</v>
      </c>
      <c r="K141" s="356" t="s">
        <v>34</v>
      </c>
      <c r="L141" s="416"/>
    </row>
    <row r="142" spans="1:13">
      <c r="A142" s="219">
        <v>3589</v>
      </c>
      <c r="B142" s="106">
        <v>41392</v>
      </c>
      <c r="C142" s="92" t="s">
        <v>678</v>
      </c>
      <c r="D142" s="105">
        <v>7500</v>
      </c>
      <c r="E142" s="413">
        <f>D142/'12 - Equity Statement'!$L$10</f>
        <v>1201.1723442079469</v>
      </c>
      <c r="F142" s="92" t="s">
        <v>509</v>
      </c>
      <c r="G142" s="91" t="s">
        <v>51</v>
      </c>
      <c r="H142" s="356" t="s">
        <v>119</v>
      </c>
      <c r="I142" s="91" t="s">
        <v>1109</v>
      </c>
      <c r="J142" s="92" t="s">
        <v>188</v>
      </c>
      <c r="K142" s="355"/>
      <c r="L142" s="416"/>
      <c r="M142" s="218">
        <f>SUM(E142:E283)</f>
        <v>73602.324439793229</v>
      </c>
    </row>
    <row r="143" spans="1:13">
      <c r="A143" s="219">
        <v>3588</v>
      </c>
      <c r="B143" s="106">
        <v>41392</v>
      </c>
      <c r="C143" s="92" t="s">
        <v>790</v>
      </c>
      <c r="D143" s="105">
        <v>10000</v>
      </c>
      <c r="E143" s="413">
        <f>D143/'12 - Equity Statement'!$L$10</f>
        <v>1601.563125610596</v>
      </c>
      <c r="F143" s="92" t="s">
        <v>511</v>
      </c>
      <c r="G143" s="91" t="s">
        <v>51</v>
      </c>
      <c r="H143" s="355" t="s">
        <v>1071</v>
      </c>
      <c r="I143" s="91" t="s">
        <v>1109</v>
      </c>
      <c r="J143" s="91" t="s">
        <v>175</v>
      </c>
      <c r="K143" s="355" t="s">
        <v>29</v>
      </c>
      <c r="L143" s="416"/>
    </row>
    <row r="144" spans="1:13">
      <c r="A144" s="219">
        <v>3591</v>
      </c>
      <c r="B144" s="106">
        <v>41392</v>
      </c>
      <c r="C144" s="92" t="s">
        <v>571</v>
      </c>
      <c r="D144" s="105">
        <v>4200</v>
      </c>
      <c r="E144" s="413">
        <f>D144/'12 - Equity Statement'!$L$10</f>
        <v>672.6565127564503</v>
      </c>
      <c r="F144" s="92" t="s">
        <v>510</v>
      </c>
      <c r="G144" s="91" t="s">
        <v>53</v>
      </c>
      <c r="H144" s="355" t="s">
        <v>1071</v>
      </c>
      <c r="I144" s="91" t="s">
        <v>1109</v>
      </c>
      <c r="J144" s="92" t="s">
        <v>188</v>
      </c>
      <c r="K144" s="356" t="s">
        <v>34</v>
      </c>
      <c r="L144" s="416"/>
    </row>
    <row r="145" spans="1:13">
      <c r="A145" s="219">
        <v>3590</v>
      </c>
      <c r="B145" s="106">
        <v>41392</v>
      </c>
      <c r="C145" s="92" t="s">
        <v>679</v>
      </c>
      <c r="D145" s="105">
        <v>5500</v>
      </c>
      <c r="E145" s="413">
        <f>D145/'12 - Equity Statement'!$L$10</f>
        <v>880.85971908582781</v>
      </c>
      <c r="F145" s="92" t="s">
        <v>509</v>
      </c>
      <c r="G145" s="91" t="s">
        <v>108</v>
      </c>
      <c r="H145" s="355" t="s">
        <v>1071</v>
      </c>
      <c r="I145" s="91" t="s">
        <v>1110</v>
      </c>
      <c r="J145" s="92" t="s">
        <v>188</v>
      </c>
      <c r="K145" s="355" t="s">
        <v>32</v>
      </c>
      <c r="L145" s="416">
        <f>SUM(E145:E289)</f>
        <v>70263.1255620343</v>
      </c>
      <c r="M145" s="218">
        <f>166000-L145</f>
        <v>95736.8744379657</v>
      </c>
    </row>
    <row r="146" spans="1:13">
      <c r="A146" s="219">
        <v>3598</v>
      </c>
      <c r="B146" s="106">
        <v>41392</v>
      </c>
      <c r="C146" s="92" t="s">
        <v>1116</v>
      </c>
      <c r="D146" s="105">
        <v>13000</v>
      </c>
      <c r="E146" s="413">
        <f>D146/'12 - Equity Statement'!$L$10</f>
        <v>2082.0320632937746</v>
      </c>
      <c r="F146" s="92" t="s">
        <v>304</v>
      </c>
      <c r="G146" s="91" t="s">
        <v>108</v>
      </c>
      <c r="H146" s="355" t="s">
        <v>1071</v>
      </c>
      <c r="I146" s="91" t="s">
        <v>1110</v>
      </c>
      <c r="J146" s="92" t="s">
        <v>188</v>
      </c>
      <c r="K146" s="356" t="s">
        <v>30</v>
      </c>
      <c r="L146" s="416"/>
    </row>
    <row r="147" spans="1:13">
      <c r="A147" s="219">
        <v>3593</v>
      </c>
      <c r="B147" s="106">
        <v>41392</v>
      </c>
      <c r="C147" s="92" t="s">
        <v>1128</v>
      </c>
      <c r="D147" s="105">
        <v>6000</v>
      </c>
      <c r="E147" s="413">
        <f>D147/'12 - Equity Statement'!$L$10</f>
        <v>960.93787536635762</v>
      </c>
      <c r="F147" s="92" t="s">
        <v>404</v>
      </c>
      <c r="G147" s="91" t="s">
        <v>108</v>
      </c>
      <c r="H147" s="355" t="s">
        <v>1071</v>
      </c>
      <c r="I147" s="91" t="s">
        <v>1110</v>
      </c>
      <c r="J147" s="92" t="s">
        <v>188</v>
      </c>
      <c r="K147" s="355" t="s">
        <v>37</v>
      </c>
      <c r="L147" s="416"/>
    </row>
    <row r="148" spans="1:13">
      <c r="A148" s="219">
        <v>3592</v>
      </c>
      <c r="B148" s="106">
        <v>41392</v>
      </c>
      <c r="C148" s="92" t="s">
        <v>572</v>
      </c>
      <c r="D148" s="105">
        <v>3000</v>
      </c>
      <c r="E148" s="413">
        <f>D148/'12 - Equity Statement'!$L$10</f>
        <v>480.46893768317881</v>
      </c>
      <c r="F148" s="92" t="s">
        <v>510</v>
      </c>
      <c r="G148" s="91" t="s">
        <v>108</v>
      </c>
      <c r="H148" s="355" t="s">
        <v>1071</v>
      </c>
      <c r="I148" s="91" t="s">
        <v>1110</v>
      </c>
      <c r="J148" s="92" t="s">
        <v>188</v>
      </c>
      <c r="K148" s="355" t="s">
        <v>32</v>
      </c>
      <c r="L148" s="416"/>
    </row>
    <row r="149" spans="1:13">
      <c r="A149" s="219">
        <v>3597</v>
      </c>
      <c r="B149" s="106">
        <v>41392</v>
      </c>
      <c r="C149" s="92" t="s">
        <v>1142</v>
      </c>
      <c r="D149" s="105">
        <v>4500</v>
      </c>
      <c r="E149" s="413">
        <f>D149/'12 - Equity Statement'!$L$10</f>
        <v>720.70340652476818</v>
      </c>
      <c r="F149" s="92" t="s">
        <v>183</v>
      </c>
      <c r="G149" s="92" t="s">
        <v>111</v>
      </c>
      <c r="H149" s="356" t="s">
        <v>119</v>
      </c>
      <c r="I149" s="91" t="s">
        <v>1110</v>
      </c>
      <c r="J149" s="92" t="s">
        <v>101</v>
      </c>
      <c r="K149" s="355"/>
      <c r="L149" s="416"/>
    </row>
    <row r="150" spans="1:13">
      <c r="A150" s="219">
        <v>3596</v>
      </c>
      <c r="B150" s="106">
        <v>41392</v>
      </c>
      <c r="C150" s="92" t="s">
        <v>1152</v>
      </c>
      <c r="D150" s="105">
        <v>4500</v>
      </c>
      <c r="E150" s="413">
        <f>D150/'12 - Equity Statement'!$L$10</f>
        <v>720.70340652476818</v>
      </c>
      <c r="F150" s="92" t="s">
        <v>182</v>
      </c>
      <c r="G150" s="92" t="s">
        <v>111</v>
      </c>
      <c r="H150" s="356" t="s">
        <v>119</v>
      </c>
      <c r="I150" s="91" t="s">
        <v>1110</v>
      </c>
      <c r="J150" s="92" t="s">
        <v>101</v>
      </c>
      <c r="K150" s="355"/>
      <c r="L150" s="416"/>
    </row>
    <row r="151" spans="1:13">
      <c r="A151" s="219">
        <v>3594</v>
      </c>
      <c r="B151" s="106">
        <v>41392</v>
      </c>
      <c r="C151" s="92" t="s">
        <v>1165</v>
      </c>
      <c r="D151" s="105">
        <v>12000</v>
      </c>
      <c r="E151" s="413">
        <f>D151/'12 - Equity Statement'!$L$10</f>
        <v>1921.8757507327152</v>
      </c>
      <c r="F151" s="92" t="s">
        <v>184</v>
      </c>
      <c r="G151" s="92" t="s">
        <v>111</v>
      </c>
      <c r="H151" s="356" t="s">
        <v>119</v>
      </c>
      <c r="I151" s="91" t="s">
        <v>1110</v>
      </c>
      <c r="J151" s="92" t="s">
        <v>101</v>
      </c>
      <c r="K151" s="355"/>
      <c r="L151" s="416"/>
    </row>
    <row r="152" spans="1:13">
      <c r="A152" s="219">
        <v>3595</v>
      </c>
      <c r="B152" s="106">
        <v>41392</v>
      </c>
      <c r="C152" s="92" t="s">
        <v>1177</v>
      </c>
      <c r="D152" s="105">
        <v>4182</v>
      </c>
      <c r="E152" s="413">
        <f>D152/'12 - Equity Statement'!$L$10</f>
        <v>669.77369913035125</v>
      </c>
      <c r="F152" s="92" t="s">
        <v>573</v>
      </c>
      <c r="G152" s="92" t="s">
        <v>111</v>
      </c>
      <c r="H152" s="355" t="s">
        <v>1071</v>
      </c>
      <c r="I152" s="91" t="s">
        <v>1110</v>
      </c>
      <c r="J152" s="92" t="s">
        <v>188</v>
      </c>
      <c r="K152" s="356" t="s">
        <v>29</v>
      </c>
      <c r="L152" s="416"/>
    </row>
    <row r="153" spans="1:13" ht="15">
      <c r="A153" s="219">
        <v>3602</v>
      </c>
      <c r="B153" s="106">
        <v>41394</v>
      </c>
      <c r="C153" s="92" t="s">
        <v>189</v>
      </c>
      <c r="D153" s="423"/>
      <c r="E153" s="413">
        <v>10000</v>
      </c>
      <c r="F153" s="92" t="s">
        <v>477</v>
      </c>
      <c r="G153" s="92" t="s">
        <v>108</v>
      </c>
      <c r="H153" s="355" t="s">
        <v>1071</v>
      </c>
      <c r="I153" s="91" t="s">
        <v>1110</v>
      </c>
      <c r="J153" s="92" t="s">
        <v>290</v>
      </c>
      <c r="K153" s="355" t="s">
        <v>30</v>
      </c>
      <c r="L153" s="416"/>
    </row>
    <row r="154" spans="1:13" ht="15">
      <c r="A154" s="219">
        <v>3624</v>
      </c>
      <c r="B154" s="106">
        <v>41395</v>
      </c>
      <c r="C154" s="92" t="s">
        <v>574</v>
      </c>
      <c r="D154" s="423"/>
      <c r="E154" s="413">
        <v>200</v>
      </c>
      <c r="F154" s="92" t="s">
        <v>185</v>
      </c>
      <c r="G154" s="92" t="s">
        <v>113</v>
      </c>
      <c r="H154" s="408" t="s">
        <v>123</v>
      </c>
      <c r="I154" s="91" t="s">
        <v>1110</v>
      </c>
      <c r="J154" s="92" t="s">
        <v>290</v>
      </c>
      <c r="K154" s="355"/>
      <c r="L154" s="416"/>
    </row>
    <row r="155" spans="1:13">
      <c r="A155" s="219">
        <v>3612</v>
      </c>
      <c r="B155" s="106">
        <v>41396</v>
      </c>
      <c r="C155" s="92" t="s">
        <v>466</v>
      </c>
      <c r="D155" s="105">
        <v>1018.08</v>
      </c>
      <c r="E155" s="413">
        <f>D155/'12 - Equity Statement'!$M$10</f>
        <v>166.3910044781486</v>
      </c>
      <c r="F155" s="92" t="s">
        <v>409</v>
      </c>
      <c r="G155" s="91" t="s">
        <v>52</v>
      </c>
      <c r="H155" s="356" t="s">
        <v>119</v>
      </c>
      <c r="I155" s="91" t="s">
        <v>1109</v>
      </c>
      <c r="J155" s="92" t="s">
        <v>292</v>
      </c>
      <c r="K155" s="355"/>
      <c r="L155" s="416"/>
    </row>
    <row r="156" spans="1:13">
      <c r="A156" s="219">
        <v>3613</v>
      </c>
      <c r="B156" s="106">
        <v>41400</v>
      </c>
      <c r="C156" s="92" t="s">
        <v>467</v>
      </c>
      <c r="D156" s="105">
        <v>1988.32</v>
      </c>
      <c r="E156" s="413">
        <f>D156/'12 - Equity Statement'!$M$10</f>
        <v>324.96322688196648</v>
      </c>
      <c r="F156" s="92" t="s">
        <v>409</v>
      </c>
      <c r="G156" s="91" t="s">
        <v>52</v>
      </c>
      <c r="H156" s="356" t="s">
        <v>119</v>
      </c>
      <c r="I156" s="91" t="s">
        <v>1109</v>
      </c>
      <c r="J156" s="92" t="s">
        <v>292</v>
      </c>
      <c r="K156" s="355"/>
      <c r="L156" s="416"/>
    </row>
    <row r="157" spans="1:13">
      <c r="A157" s="219">
        <v>3643</v>
      </c>
      <c r="B157" s="106">
        <v>41400</v>
      </c>
      <c r="C157" s="92" t="s">
        <v>468</v>
      </c>
      <c r="D157" s="105">
        <v>900</v>
      </c>
      <c r="E157" s="413">
        <f>D157/'12 - Equity Statement'!$M$10</f>
        <v>147.09247213414835</v>
      </c>
      <c r="F157" s="92" t="s">
        <v>469</v>
      </c>
      <c r="G157" s="92" t="s">
        <v>108</v>
      </c>
      <c r="H157" s="355" t="s">
        <v>1071</v>
      </c>
      <c r="I157" s="91" t="s">
        <v>1110</v>
      </c>
      <c r="J157" s="92" t="s">
        <v>101</v>
      </c>
      <c r="K157" s="356" t="s">
        <v>29</v>
      </c>
      <c r="L157" s="416"/>
    </row>
    <row r="158" spans="1:13">
      <c r="A158" s="219">
        <v>3642</v>
      </c>
      <c r="B158" s="106">
        <v>41403</v>
      </c>
      <c r="C158" s="92" t="s">
        <v>470</v>
      </c>
      <c r="D158" s="105">
        <v>18050</v>
      </c>
      <c r="E158" s="413">
        <f>D158/'12 - Equity Statement'!$M$10</f>
        <v>2950.0212466904195</v>
      </c>
      <c r="F158" s="92" t="s">
        <v>471</v>
      </c>
      <c r="G158" s="92" t="s">
        <v>107</v>
      </c>
      <c r="H158" s="355" t="s">
        <v>1071</v>
      </c>
      <c r="I158" s="91" t="s">
        <v>1109</v>
      </c>
      <c r="J158" s="92" t="s">
        <v>188</v>
      </c>
      <c r="K158" s="356" t="s">
        <v>29</v>
      </c>
      <c r="L158" s="416"/>
    </row>
    <row r="159" spans="1:13">
      <c r="A159" s="219">
        <v>3645</v>
      </c>
      <c r="B159" s="106">
        <v>41403</v>
      </c>
      <c r="C159" s="92" t="s">
        <v>473</v>
      </c>
      <c r="D159" s="105">
        <v>23</v>
      </c>
      <c r="E159" s="413">
        <f>D159/'12 - Equity Statement'!$M$10</f>
        <v>3.7590298434282352</v>
      </c>
      <c r="F159" s="92" t="s">
        <v>179</v>
      </c>
      <c r="G159" s="91" t="s">
        <v>132</v>
      </c>
      <c r="H159" s="355" t="s">
        <v>120</v>
      </c>
      <c r="I159" s="268" t="s">
        <v>1109</v>
      </c>
      <c r="J159" s="92" t="s">
        <v>188</v>
      </c>
      <c r="K159" s="355"/>
      <c r="L159" s="416"/>
    </row>
    <row r="160" spans="1:13">
      <c r="A160" s="219">
        <v>3650</v>
      </c>
      <c r="B160" s="106">
        <v>41403</v>
      </c>
      <c r="C160" s="92" t="s">
        <v>474</v>
      </c>
      <c r="D160" s="105">
        <v>52</v>
      </c>
      <c r="E160" s="413">
        <f>D160/'12 - Equity Statement'!$M$10</f>
        <v>8.4986761677507925</v>
      </c>
      <c r="F160" s="92" t="s">
        <v>475</v>
      </c>
      <c r="G160" s="92" t="s">
        <v>106</v>
      </c>
      <c r="H160" s="355" t="s">
        <v>1071</v>
      </c>
      <c r="I160" s="268" t="s">
        <v>1109</v>
      </c>
      <c r="J160" s="92" t="s">
        <v>188</v>
      </c>
      <c r="K160" s="355" t="s">
        <v>34</v>
      </c>
      <c r="L160" s="416"/>
    </row>
    <row r="161" spans="1:12">
      <c r="A161" s="219">
        <v>3614</v>
      </c>
      <c r="B161" s="106">
        <v>41404</v>
      </c>
      <c r="C161" s="92" t="s">
        <v>558</v>
      </c>
      <c r="D161" s="105">
        <v>311.13</v>
      </c>
      <c r="E161" s="413">
        <f>D161/'12 - Equity Statement'!$M$10</f>
        <v>50.849867616775079</v>
      </c>
      <c r="F161" s="92" t="s">
        <v>181</v>
      </c>
      <c r="G161" s="91" t="s">
        <v>114</v>
      </c>
      <c r="H161" s="355" t="s">
        <v>1071</v>
      </c>
      <c r="I161" s="91" t="s">
        <v>1109</v>
      </c>
      <c r="J161" s="92" t="s">
        <v>292</v>
      </c>
      <c r="K161" s="356" t="s">
        <v>29</v>
      </c>
      <c r="L161" s="416"/>
    </row>
    <row r="162" spans="1:12">
      <c r="A162" s="219">
        <v>3616</v>
      </c>
      <c r="B162" s="106">
        <v>41405</v>
      </c>
      <c r="C162" s="92" t="s">
        <v>702</v>
      </c>
      <c r="D162" s="105">
        <v>480</v>
      </c>
      <c r="E162" s="413">
        <f>D162/'12 - Equity Statement'!$M$10</f>
        <v>78.44931847154578</v>
      </c>
      <c r="F162" s="92" t="s">
        <v>409</v>
      </c>
      <c r="G162" s="91" t="s">
        <v>52</v>
      </c>
      <c r="H162" s="356" t="s">
        <v>119</v>
      </c>
      <c r="I162" s="91" t="s">
        <v>1109</v>
      </c>
      <c r="J162" s="92" t="s">
        <v>292</v>
      </c>
      <c r="K162" s="355"/>
      <c r="L162" s="416"/>
    </row>
    <row r="163" spans="1:12">
      <c r="A163" s="219">
        <v>3617</v>
      </c>
      <c r="B163" s="106">
        <v>41405</v>
      </c>
      <c r="C163" s="92" t="s">
        <v>377</v>
      </c>
      <c r="D163" s="105">
        <v>480</v>
      </c>
      <c r="E163" s="413">
        <f>D163/'12 - Equity Statement'!$M$10</f>
        <v>78.44931847154578</v>
      </c>
      <c r="F163" s="92" t="s">
        <v>409</v>
      </c>
      <c r="G163" s="91" t="s">
        <v>52</v>
      </c>
      <c r="H163" s="355" t="s">
        <v>1071</v>
      </c>
      <c r="I163" s="91" t="s">
        <v>1109</v>
      </c>
      <c r="J163" s="92" t="s">
        <v>292</v>
      </c>
      <c r="K163" s="356" t="s">
        <v>29</v>
      </c>
      <c r="L163" s="416"/>
    </row>
    <row r="164" spans="1:12">
      <c r="A164" s="219">
        <v>3615</v>
      </c>
      <c r="B164" s="106">
        <v>41405</v>
      </c>
      <c r="C164" s="92" t="s">
        <v>186</v>
      </c>
      <c r="D164" s="105">
        <v>173.6</v>
      </c>
      <c r="E164" s="413">
        <f>D164/'12 - Equity Statement'!$M$10</f>
        <v>28.372503513875724</v>
      </c>
      <c r="F164" s="92" t="s">
        <v>302</v>
      </c>
      <c r="G164" s="91" t="s">
        <v>114</v>
      </c>
      <c r="H164" s="355" t="s">
        <v>1071</v>
      </c>
      <c r="I164" s="91" t="s">
        <v>1109</v>
      </c>
      <c r="J164" s="92" t="s">
        <v>292</v>
      </c>
      <c r="K164" s="356" t="s">
        <v>29</v>
      </c>
      <c r="L164" s="416"/>
    </row>
    <row r="165" spans="1:12">
      <c r="A165" s="219">
        <v>3604</v>
      </c>
      <c r="B165" s="106">
        <v>41407</v>
      </c>
      <c r="C165" s="92" t="s">
        <v>180</v>
      </c>
      <c r="D165" s="105">
        <v>50</v>
      </c>
      <c r="E165" s="413">
        <f>D165/'12 - Equity Statement'!$M$10</f>
        <v>8.1718040074526854</v>
      </c>
      <c r="F165" s="92" t="s">
        <v>403</v>
      </c>
      <c r="G165" s="91" t="s">
        <v>114</v>
      </c>
      <c r="H165" s="355" t="s">
        <v>1071</v>
      </c>
      <c r="I165" s="91" t="s">
        <v>1110</v>
      </c>
      <c r="J165" s="92" t="s">
        <v>188</v>
      </c>
      <c r="K165" s="356" t="s">
        <v>34</v>
      </c>
      <c r="L165" s="416"/>
    </row>
    <row r="166" spans="1:12">
      <c r="A166" s="219">
        <v>3618</v>
      </c>
      <c r="B166" s="106">
        <v>41408</v>
      </c>
      <c r="C166" s="92" t="s">
        <v>578</v>
      </c>
      <c r="D166" s="105">
        <v>955.68</v>
      </c>
      <c r="E166" s="413">
        <f>D166/'12 - Equity Statement'!$M$10</f>
        <v>156.19259307684763</v>
      </c>
      <c r="F166" s="92" t="s">
        <v>303</v>
      </c>
      <c r="G166" s="91" t="s">
        <v>116</v>
      </c>
      <c r="H166" s="356" t="s">
        <v>119</v>
      </c>
      <c r="I166" s="91" t="s">
        <v>1109</v>
      </c>
      <c r="J166" s="92" t="s">
        <v>292</v>
      </c>
      <c r="K166" s="355"/>
      <c r="L166" s="416"/>
    </row>
    <row r="167" spans="1:12">
      <c r="A167" s="219">
        <v>3606</v>
      </c>
      <c r="B167" s="106">
        <v>41408</v>
      </c>
      <c r="C167" s="92" t="s">
        <v>576</v>
      </c>
      <c r="D167" s="105">
        <v>586</v>
      </c>
      <c r="E167" s="413">
        <f>D167/'12 - Equity Statement'!$M$10</f>
        <v>95.773542967345477</v>
      </c>
      <c r="F167" s="92" t="s">
        <v>577</v>
      </c>
      <c r="G167" s="91" t="s">
        <v>114</v>
      </c>
      <c r="H167" s="355" t="s">
        <v>1071</v>
      </c>
      <c r="I167" s="268" t="s">
        <v>1109</v>
      </c>
      <c r="J167" s="92" t="s">
        <v>188</v>
      </c>
      <c r="K167" s="356" t="s">
        <v>29</v>
      </c>
      <c r="L167" s="416"/>
    </row>
    <row r="168" spans="1:12">
      <c r="A168" s="219">
        <v>3605</v>
      </c>
      <c r="B168" s="106">
        <v>41408</v>
      </c>
      <c r="C168" s="92" t="s">
        <v>476</v>
      </c>
      <c r="D168" s="105">
        <v>35</v>
      </c>
      <c r="E168" s="413">
        <f>D168/'12 - Equity Statement'!$M$10</f>
        <v>5.7202628052168798</v>
      </c>
      <c r="F168" s="92" t="s">
        <v>403</v>
      </c>
      <c r="G168" s="91" t="s">
        <v>114</v>
      </c>
      <c r="H168" s="355" t="s">
        <v>1071</v>
      </c>
      <c r="I168" s="91" t="s">
        <v>1110</v>
      </c>
      <c r="J168" s="92" t="s">
        <v>188</v>
      </c>
      <c r="K168" s="356" t="s">
        <v>29</v>
      </c>
      <c r="L168" s="416"/>
    </row>
    <row r="169" spans="1:12" ht="15">
      <c r="A169" s="219">
        <v>3666</v>
      </c>
      <c r="B169" s="106">
        <v>41408</v>
      </c>
      <c r="C169" s="92" t="s">
        <v>579</v>
      </c>
      <c r="D169" s="423"/>
      <c r="E169" s="413">
        <v>35</v>
      </c>
      <c r="F169" s="92" t="s">
        <v>363</v>
      </c>
      <c r="G169" s="268" t="s">
        <v>1083</v>
      </c>
      <c r="H169" s="355" t="s">
        <v>1071</v>
      </c>
      <c r="I169" s="91" t="s">
        <v>1110</v>
      </c>
      <c r="J169" s="92" t="s">
        <v>290</v>
      </c>
      <c r="K169" s="356" t="s">
        <v>29</v>
      </c>
      <c r="L169" s="416"/>
    </row>
    <row r="170" spans="1:12">
      <c r="A170" s="219">
        <v>3649</v>
      </c>
      <c r="B170" s="106">
        <v>41410</v>
      </c>
      <c r="C170" s="92" t="s">
        <v>703</v>
      </c>
      <c r="D170" s="105">
        <v>1774</v>
      </c>
      <c r="E170" s="413">
        <f>D170/'12 - Equity Statement'!$M$10</f>
        <v>289.93560618442126</v>
      </c>
      <c r="F170" s="92" t="s">
        <v>559</v>
      </c>
      <c r="G170" s="91" t="s">
        <v>132</v>
      </c>
      <c r="H170" s="356" t="s">
        <v>119</v>
      </c>
      <c r="I170" s="268" t="s">
        <v>1109</v>
      </c>
      <c r="J170" s="92" t="s">
        <v>188</v>
      </c>
      <c r="K170" s="356"/>
      <c r="L170" s="416"/>
    </row>
    <row r="171" spans="1:12">
      <c r="A171" s="219">
        <v>3609</v>
      </c>
      <c r="B171" s="106">
        <v>41410</v>
      </c>
      <c r="C171" s="92" t="s">
        <v>580</v>
      </c>
      <c r="D171" s="105">
        <v>31</v>
      </c>
      <c r="E171" s="413">
        <f>D171/'12 - Equity Statement'!$M$10</f>
        <v>5.0665184846206648</v>
      </c>
      <c r="F171" s="92" t="s">
        <v>179</v>
      </c>
      <c r="G171" s="91" t="s">
        <v>132</v>
      </c>
      <c r="H171" s="356" t="s">
        <v>119</v>
      </c>
      <c r="I171" s="268" t="s">
        <v>1109</v>
      </c>
      <c r="J171" s="92" t="s">
        <v>188</v>
      </c>
      <c r="K171" s="355"/>
      <c r="L171" s="416"/>
    </row>
    <row r="172" spans="1:12">
      <c r="A172" s="219">
        <v>3646</v>
      </c>
      <c r="B172" s="106">
        <v>41410</v>
      </c>
      <c r="C172" s="92" t="s">
        <v>581</v>
      </c>
      <c r="D172" s="105">
        <v>111</v>
      </c>
      <c r="E172" s="413">
        <f>D172/'12 - Equity Statement'!$M$10</f>
        <v>18.141404896544962</v>
      </c>
      <c r="F172" s="92" t="s">
        <v>179</v>
      </c>
      <c r="G172" s="91" t="s">
        <v>132</v>
      </c>
      <c r="H172" s="356" t="s">
        <v>119</v>
      </c>
      <c r="I172" s="268" t="s">
        <v>1109</v>
      </c>
      <c r="J172" s="92" t="s">
        <v>188</v>
      </c>
      <c r="K172" s="355"/>
      <c r="L172" s="416"/>
    </row>
    <row r="173" spans="1:12">
      <c r="A173" s="219">
        <v>3607</v>
      </c>
      <c r="B173" s="106">
        <v>41411</v>
      </c>
      <c r="C173" s="92" t="s">
        <v>704</v>
      </c>
      <c r="D173" s="105">
        <v>347</v>
      </c>
      <c r="E173" s="413">
        <f>D173/'12 - Equity Statement'!$M$10</f>
        <v>56.712319811721635</v>
      </c>
      <c r="F173" s="92" t="s">
        <v>705</v>
      </c>
      <c r="G173" s="91" t="s">
        <v>114</v>
      </c>
      <c r="H173" s="355" t="s">
        <v>1071</v>
      </c>
      <c r="I173" s="268" t="s">
        <v>1109</v>
      </c>
      <c r="J173" s="92" t="s">
        <v>188</v>
      </c>
      <c r="K173" s="356" t="s">
        <v>29</v>
      </c>
      <c r="L173" s="416"/>
    </row>
    <row r="174" spans="1:12">
      <c r="A174" s="219">
        <v>3647</v>
      </c>
      <c r="B174" s="106">
        <v>41411</v>
      </c>
      <c r="C174" s="92" t="s">
        <v>706</v>
      </c>
      <c r="D174" s="105">
        <v>72</v>
      </c>
      <c r="E174" s="413">
        <f>D174/'12 - Equity Statement'!$M$10</f>
        <v>11.767397770731867</v>
      </c>
      <c r="F174" s="92" t="s">
        <v>179</v>
      </c>
      <c r="G174" s="91" t="s">
        <v>132</v>
      </c>
      <c r="H174" s="355" t="s">
        <v>1071</v>
      </c>
      <c r="I174" s="268" t="s">
        <v>1109</v>
      </c>
      <c r="J174" s="92" t="s">
        <v>188</v>
      </c>
      <c r="K174" s="355" t="s">
        <v>29</v>
      </c>
      <c r="L174" s="416"/>
    </row>
    <row r="175" spans="1:12">
      <c r="A175" s="219">
        <v>3648</v>
      </c>
      <c r="B175" s="106">
        <v>41411</v>
      </c>
      <c r="C175" s="92" t="s">
        <v>719</v>
      </c>
      <c r="D175" s="105">
        <v>59</v>
      </c>
      <c r="E175" s="413">
        <f>D175/'12 - Equity Statement'!$M$10</f>
        <v>9.6427287287941681</v>
      </c>
      <c r="F175" s="92" t="s">
        <v>179</v>
      </c>
      <c r="G175" s="91" t="s">
        <v>132</v>
      </c>
      <c r="H175" s="356" t="s">
        <v>119</v>
      </c>
      <c r="I175" s="268" t="s">
        <v>1109</v>
      </c>
      <c r="J175" s="92" t="s">
        <v>188</v>
      </c>
      <c r="K175" s="355"/>
      <c r="L175" s="416"/>
    </row>
    <row r="176" spans="1:12" ht="15">
      <c r="A176" s="219">
        <v>3668</v>
      </c>
      <c r="B176" s="106">
        <v>41411</v>
      </c>
      <c r="C176" s="92" t="s">
        <v>392</v>
      </c>
      <c r="D176" s="423"/>
      <c r="E176" s="413">
        <v>1521.2</v>
      </c>
      <c r="F176" s="92" t="s">
        <v>754</v>
      </c>
      <c r="G176" s="91" t="s">
        <v>132</v>
      </c>
      <c r="H176" s="355" t="s">
        <v>1071</v>
      </c>
      <c r="I176" s="91" t="s">
        <v>1110</v>
      </c>
      <c r="J176" s="92" t="s">
        <v>102</v>
      </c>
      <c r="K176" s="356" t="s">
        <v>39</v>
      </c>
      <c r="L176" s="416"/>
    </row>
    <row r="177" spans="1:14" ht="15">
      <c r="A177" s="219">
        <v>3668</v>
      </c>
      <c r="B177" s="106">
        <v>41411</v>
      </c>
      <c r="C177" s="92" t="s">
        <v>843</v>
      </c>
      <c r="D177" s="423"/>
      <c r="E177" s="413">
        <v>156.08000000000001</v>
      </c>
      <c r="F177" s="92" t="s">
        <v>754</v>
      </c>
      <c r="G177" s="91" t="s">
        <v>132</v>
      </c>
      <c r="H177" s="355" t="s">
        <v>1071</v>
      </c>
      <c r="I177" s="91" t="s">
        <v>1110</v>
      </c>
      <c r="J177" s="92" t="s">
        <v>102</v>
      </c>
      <c r="K177" s="356" t="s">
        <v>39</v>
      </c>
      <c r="L177" s="416"/>
    </row>
    <row r="178" spans="1:14">
      <c r="A178" s="370">
        <v>3946</v>
      </c>
      <c r="B178" s="371">
        <v>41412</v>
      </c>
      <c r="C178" s="372" t="s">
        <v>1031</v>
      </c>
      <c r="D178" s="105">
        <v>8</v>
      </c>
      <c r="E178" s="413">
        <f>D178/6.1186</f>
        <v>1.3074886411924296</v>
      </c>
      <c r="F178" s="372" t="s">
        <v>750</v>
      </c>
      <c r="G178" s="91" t="s">
        <v>114</v>
      </c>
      <c r="H178" s="355" t="s">
        <v>1071</v>
      </c>
      <c r="I178" s="91" t="s">
        <v>1110</v>
      </c>
      <c r="J178" s="91" t="s">
        <v>894</v>
      </c>
      <c r="K178" s="356" t="s">
        <v>29</v>
      </c>
      <c r="L178" s="416" t="s">
        <v>402</v>
      </c>
      <c r="M178" s="372" t="s">
        <v>402</v>
      </c>
      <c r="N178" s="375" t="s">
        <v>402</v>
      </c>
    </row>
    <row r="179" spans="1:14" ht="15">
      <c r="A179" s="219">
        <v>3669</v>
      </c>
      <c r="B179" s="106">
        <v>41412</v>
      </c>
      <c r="C179" s="92" t="s">
        <v>844</v>
      </c>
      <c r="D179" s="423"/>
      <c r="E179" s="413">
        <v>100</v>
      </c>
      <c r="F179" s="92" t="s">
        <v>845</v>
      </c>
      <c r="G179" s="91" t="s">
        <v>114</v>
      </c>
      <c r="H179" s="355" t="s">
        <v>1071</v>
      </c>
      <c r="I179" s="91" t="s">
        <v>1110</v>
      </c>
      <c r="J179" s="92" t="s">
        <v>102</v>
      </c>
      <c r="K179" s="355" t="s">
        <v>35</v>
      </c>
      <c r="L179" s="416"/>
    </row>
    <row r="180" spans="1:14" ht="15">
      <c r="A180" s="219">
        <v>3672</v>
      </c>
      <c r="B180" s="106">
        <v>41412</v>
      </c>
      <c r="C180" s="92" t="s">
        <v>846</v>
      </c>
      <c r="D180" s="423"/>
      <c r="E180" s="413">
        <v>25</v>
      </c>
      <c r="F180" s="92" t="s">
        <v>675</v>
      </c>
      <c r="G180" s="91" t="s">
        <v>114</v>
      </c>
      <c r="H180" s="355" t="s">
        <v>118</v>
      </c>
      <c r="I180" s="91" t="s">
        <v>1110</v>
      </c>
      <c r="J180" s="92" t="s">
        <v>102</v>
      </c>
      <c r="K180" s="355" t="s">
        <v>23</v>
      </c>
      <c r="L180" s="416"/>
    </row>
    <row r="181" spans="1:14" ht="15">
      <c r="A181" s="219">
        <v>3671</v>
      </c>
      <c r="B181" s="106">
        <v>41414</v>
      </c>
      <c r="C181" s="92" t="s">
        <v>629</v>
      </c>
      <c r="D181" s="423"/>
      <c r="E181" s="413">
        <v>29</v>
      </c>
      <c r="F181" s="92" t="s">
        <v>533</v>
      </c>
      <c r="G181" s="91" t="s">
        <v>132</v>
      </c>
      <c r="H181" s="355" t="s">
        <v>1071</v>
      </c>
      <c r="I181" s="91" t="s">
        <v>1110</v>
      </c>
      <c r="J181" s="92" t="s">
        <v>102</v>
      </c>
      <c r="K181" s="356" t="s">
        <v>39</v>
      </c>
      <c r="L181" s="416"/>
    </row>
    <row r="182" spans="1:14" ht="15">
      <c r="A182" s="219">
        <v>3670</v>
      </c>
      <c r="B182" s="106">
        <v>41414</v>
      </c>
      <c r="C182" s="92" t="s">
        <v>848</v>
      </c>
      <c r="D182" s="423"/>
      <c r="E182" s="413">
        <v>20</v>
      </c>
      <c r="F182" s="92" t="s">
        <v>628</v>
      </c>
      <c r="G182" s="91" t="s">
        <v>132</v>
      </c>
      <c r="H182" s="355" t="s">
        <v>1071</v>
      </c>
      <c r="I182" s="91" t="s">
        <v>1110</v>
      </c>
      <c r="J182" s="92" t="s">
        <v>102</v>
      </c>
      <c r="K182" s="356" t="s">
        <v>39</v>
      </c>
      <c r="L182" s="416"/>
    </row>
    <row r="183" spans="1:14" ht="15">
      <c r="A183" s="219">
        <v>3667</v>
      </c>
      <c r="B183" s="106">
        <v>41414</v>
      </c>
      <c r="C183" s="92" t="s">
        <v>847</v>
      </c>
      <c r="D183" s="423"/>
      <c r="E183" s="413">
        <v>260</v>
      </c>
      <c r="F183" s="92" t="s">
        <v>363</v>
      </c>
      <c r="G183" s="268" t="s">
        <v>1083</v>
      </c>
      <c r="H183" s="355" t="s">
        <v>1071</v>
      </c>
      <c r="I183" s="91" t="s">
        <v>1110</v>
      </c>
      <c r="J183" s="92" t="s">
        <v>290</v>
      </c>
      <c r="K183" s="356" t="s">
        <v>29</v>
      </c>
      <c r="L183" s="416"/>
    </row>
    <row r="184" spans="1:14">
      <c r="A184" s="219">
        <v>3610</v>
      </c>
      <c r="B184" s="106">
        <v>41415</v>
      </c>
      <c r="C184" s="92" t="s">
        <v>180</v>
      </c>
      <c r="D184" s="105">
        <v>50</v>
      </c>
      <c r="E184" s="413">
        <f>D184/'12 - Equity Statement'!$M$10</f>
        <v>8.1718040074526854</v>
      </c>
      <c r="F184" s="92" t="s">
        <v>403</v>
      </c>
      <c r="G184" s="91" t="s">
        <v>114</v>
      </c>
      <c r="H184" s="355" t="s">
        <v>1071</v>
      </c>
      <c r="I184" s="91" t="s">
        <v>1110</v>
      </c>
      <c r="J184" s="92" t="s">
        <v>188</v>
      </c>
      <c r="K184" s="356" t="s">
        <v>34</v>
      </c>
      <c r="L184" s="416"/>
    </row>
    <row r="185" spans="1:14" ht="15">
      <c r="A185" s="219">
        <v>3674</v>
      </c>
      <c r="B185" s="106">
        <v>41415</v>
      </c>
      <c r="C185" s="92" t="s">
        <v>743</v>
      </c>
      <c r="D185" s="423"/>
      <c r="E185" s="413">
        <v>11</v>
      </c>
      <c r="F185" s="92" t="s">
        <v>744</v>
      </c>
      <c r="G185" s="91" t="s">
        <v>132</v>
      </c>
      <c r="H185" s="355" t="s">
        <v>1071</v>
      </c>
      <c r="I185" s="91" t="s">
        <v>1110</v>
      </c>
      <c r="J185" s="92" t="s">
        <v>102</v>
      </c>
      <c r="K185" s="356" t="s">
        <v>39</v>
      </c>
      <c r="L185" s="416"/>
    </row>
    <row r="186" spans="1:14">
      <c r="A186" s="219">
        <v>3608</v>
      </c>
      <c r="B186" s="106">
        <v>41415</v>
      </c>
      <c r="C186" s="92" t="s">
        <v>534</v>
      </c>
      <c r="D186" s="105">
        <v>38</v>
      </c>
      <c r="E186" s="413">
        <f>D186/'12 - Equity Statement'!$M$10</f>
        <v>6.2105710456640413</v>
      </c>
      <c r="F186" s="92" t="s">
        <v>535</v>
      </c>
      <c r="G186" s="91" t="s">
        <v>132</v>
      </c>
      <c r="H186" s="356" t="s">
        <v>119</v>
      </c>
      <c r="I186" s="268" t="s">
        <v>1109</v>
      </c>
      <c r="J186" s="92" t="s">
        <v>188</v>
      </c>
      <c r="K186" s="355"/>
      <c r="L186" s="416"/>
    </row>
    <row r="187" spans="1:14" ht="15">
      <c r="A187" s="219">
        <v>3675</v>
      </c>
      <c r="B187" s="106">
        <v>41415</v>
      </c>
      <c r="C187" s="92" t="s">
        <v>745</v>
      </c>
      <c r="D187" s="423"/>
      <c r="E187" s="413">
        <v>149</v>
      </c>
      <c r="F187" s="92" t="s">
        <v>616</v>
      </c>
      <c r="G187" s="91" t="s">
        <v>132</v>
      </c>
      <c r="H187" s="355" t="s">
        <v>1071</v>
      </c>
      <c r="I187" s="91" t="s">
        <v>1110</v>
      </c>
      <c r="J187" s="92" t="s">
        <v>102</v>
      </c>
      <c r="K187" s="356" t="s">
        <v>39</v>
      </c>
      <c r="L187" s="416"/>
    </row>
    <row r="188" spans="1:14" ht="15">
      <c r="A188" s="219">
        <v>3673</v>
      </c>
      <c r="B188" s="106">
        <v>41415</v>
      </c>
      <c r="C188" s="92" t="s">
        <v>536</v>
      </c>
      <c r="D188" s="423"/>
      <c r="E188" s="413">
        <v>25</v>
      </c>
      <c r="F188" s="92" t="s">
        <v>742</v>
      </c>
      <c r="G188" s="92" t="s">
        <v>106</v>
      </c>
      <c r="H188" s="355" t="s">
        <v>1071</v>
      </c>
      <c r="I188" s="91" t="s">
        <v>1110</v>
      </c>
      <c r="J188" s="92" t="s">
        <v>102</v>
      </c>
      <c r="K188" s="355" t="s">
        <v>34</v>
      </c>
      <c r="L188" s="416"/>
    </row>
    <row r="189" spans="1:14" ht="15">
      <c r="A189" s="219">
        <v>3676</v>
      </c>
      <c r="B189" s="106">
        <v>41416</v>
      </c>
      <c r="C189" s="92" t="s">
        <v>617</v>
      </c>
      <c r="D189" s="423"/>
      <c r="E189" s="413">
        <v>11.2</v>
      </c>
      <c r="F189" s="92" t="s">
        <v>618</v>
      </c>
      <c r="G189" s="91" t="s">
        <v>114</v>
      </c>
      <c r="H189" s="355" t="s">
        <v>1071</v>
      </c>
      <c r="I189" s="91" t="s">
        <v>1110</v>
      </c>
      <c r="J189" s="92" t="s">
        <v>102</v>
      </c>
      <c r="K189" s="356" t="s">
        <v>29</v>
      </c>
      <c r="L189" s="416"/>
    </row>
    <row r="190" spans="1:14" ht="15">
      <c r="A190" s="219">
        <v>3677</v>
      </c>
      <c r="B190" s="106">
        <v>41416</v>
      </c>
      <c r="C190" s="92" t="s">
        <v>619</v>
      </c>
      <c r="D190" s="423"/>
      <c r="E190" s="413">
        <v>41.3</v>
      </c>
      <c r="F190" s="92" t="s">
        <v>620</v>
      </c>
      <c r="G190" s="91" t="s">
        <v>132</v>
      </c>
      <c r="H190" s="355" t="s">
        <v>1071</v>
      </c>
      <c r="I190" s="91" t="s">
        <v>1110</v>
      </c>
      <c r="J190" s="92" t="s">
        <v>102</v>
      </c>
      <c r="K190" s="356" t="s">
        <v>39</v>
      </c>
      <c r="L190" s="416"/>
    </row>
    <row r="191" spans="1:14" ht="15">
      <c r="A191" s="219">
        <v>3678</v>
      </c>
      <c r="B191" s="106">
        <v>41416</v>
      </c>
      <c r="C191" s="92" t="s">
        <v>621</v>
      </c>
      <c r="D191" s="423"/>
      <c r="E191" s="413">
        <v>45.74</v>
      </c>
      <c r="F191" s="92" t="s">
        <v>729</v>
      </c>
      <c r="G191" s="92" t="s">
        <v>106</v>
      </c>
      <c r="H191" s="355" t="s">
        <v>1071</v>
      </c>
      <c r="I191" s="91" t="s">
        <v>1110</v>
      </c>
      <c r="J191" s="92" t="s">
        <v>102</v>
      </c>
      <c r="K191" s="355" t="s">
        <v>34</v>
      </c>
      <c r="L191" s="416"/>
    </row>
    <row r="192" spans="1:14">
      <c r="A192" s="219">
        <v>3611</v>
      </c>
      <c r="B192" s="106">
        <v>41417</v>
      </c>
      <c r="C192" s="92" t="s">
        <v>622</v>
      </c>
      <c r="D192" s="105">
        <v>15</v>
      </c>
      <c r="E192" s="413">
        <f>D192/'12 - Equity Statement'!$M$10</f>
        <v>2.4515412022358056</v>
      </c>
      <c r="F192" s="92" t="s">
        <v>510</v>
      </c>
      <c r="G192" s="91" t="s">
        <v>132</v>
      </c>
      <c r="H192" s="355" t="s">
        <v>1071</v>
      </c>
      <c r="I192" s="91" t="s">
        <v>1110</v>
      </c>
      <c r="J192" s="92" t="s">
        <v>188</v>
      </c>
      <c r="K192" s="356" t="s">
        <v>29</v>
      </c>
      <c r="L192" s="416"/>
    </row>
    <row r="193" spans="1:12">
      <c r="A193" s="219">
        <v>3619</v>
      </c>
      <c r="B193" s="106">
        <v>41417</v>
      </c>
      <c r="C193" s="92" t="s">
        <v>623</v>
      </c>
      <c r="D193" s="105">
        <v>65</v>
      </c>
      <c r="E193" s="413">
        <f>D193/'12 - Equity Statement'!$M$10</f>
        <v>10.623345209688491</v>
      </c>
      <c r="F193" s="92" t="s">
        <v>179</v>
      </c>
      <c r="G193" s="91" t="s">
        <v>132</v>
      </c>
      <c r="H193" s="356" t="s">
        <v>119</v>
      </c>
      <c r="I193" s="268" t="s">
        <v>1109</v>
      </c>
      <c r="J193" s="92" t="s">
        <v>188</v>
      </c>
      <c r="K193" s="355"/>
      <c r="L193" s="416"/>
    </row>
    <row r="194" spans="1:12">
      <c r="A194" s="219">
        <v>3644</v>
      </c>
      <c r="B194" s="106">
        <v>41418</v>
      </c>
      <c r="C194" s="92" t="s">
        <v>625</v>
      </c>
      <c r="D194" s="105">
        <v>36</v>
      </c>
      <c r="E194" s="413">
        <f>D194/'12 - Equity Statement'!$M$10</f>
        <v>5.8836988853659333</v>
      </c>
      <c r="F194" s="92" t="s">
        <v>179</v>
      </c>
      <c r="G194" s="91" t="s">
        <v>132</v>
      </c>
      <c r="H194" s="356" t="s">
        <v>119</v>
      </c>
      <c r="I194" s="268" t="s">
        <v>1109</v>
      </c>
      <c r="J194" s="92" t="s">
        <v>188</v>
      </c>
      <c r="K194" s="355"/>
      <c r="L194" s="416"/>
    </row>
    <row r="195" spans="1:12">
      <c r="A195" s="219">
        <v>3622</v>
      </c>
      <c r="B195" s="106">
        <v>41418</v>
      </c>
      <c r="C195" s="92" t="s">
        <v>624</v>
      </c>
      <c r="D195" s="105">
        <v>39</v>
      </c>
      <c r="E195" s="413">
        <f>D195/'12 - Equity Statement'!$M$10</f>
        <v>6.3740071258130948</v>
      </c>
      <c r="F195" s="92" t="s">
        <v>535</v>
      </c>
      <c r="G195" s="91" t="s">
        <v>132</v>
      </c>
      <c r="H195" s="356" t="s">
        <v>119</v>
      </c>
      <c r="I195" s="268" t="s">
        <v>1109</v>
      </c>
      <c r="J195" s="92" t="s">
        <v>188</v>
      </c>
      <c r="K195" s="355"/>
      <c r="L195" s="416"/>
    </row>
    <row r="196" spans="1:12">
      <c r="A196" s="219">
        <v>3620</v>
      </c>
      <c r="B196" s="106">
        <v>41421</v>
      </c>
      <c r="C196" s="92" t="s">
        <v>626</v>
      </c>
      <c r="D196" s="105">
        <v>590</v>
      </c>
      <c r="E196" s="413">
        <f>D196/'12 - Equity Statement'!$M$10</f>
        <v>96.427287287941695</v>
      </c>
      <c r="F196" s="92" t="s">
        <v>627</v>
      </c>
      <c r="G196" s="92" t="s">
        <v>108</v>
      </c>
      <c r="H196" s="355" t="s">
        <v>1071</v>
      </c>
      <c r="I196" s="268" t="s">
        <v>1109</v>
      </c>
      <c r="J196" s="92" t="s">
        <v>188</v>
      </c>
      <c r="K196" s="356" t="s">
        <v>29</v>
      </c>
      <c r="L196" s="416"/>
    </row>
    <row r="197" spans="1:12">
      <c r="A197" s="219">
        <v>3621</v>
      </c>
      <c r="B197" s="106">
        <v>41421</v>
      </c>
      <c r="C197" s="92" t="s">
        <v>733</v>
      </c>
      <c r="D197" s="105">
        <v>22</v>
      </c>
      <c r="E197" s="413">
        <f>D197/'12 - Equity Statement'!$M$10</f>
        <v>3.5955937632791817</v>
      </c>
      <c r="F197" s="92" t="s">
        <v>609</v>
      </c>
      <c r="G197" s="91" t="s">
        <v>114</v>
      </c>
      <c r="H197" s="355" t="s">
        <v>1071</v>
      </c>
      <c r="I197" s="268" t="s">
        <v>1109</v>
      </c>
      <c r="J197" s="92" t="s">
        <v>188</v>
      </c>
      <c r="K197" s="356" t="s">
        <v>29</v>
      </c>
      <c r="L197" s="416"/>
    </row>
    <row r="198" spans="1:12">
      <c r="A198" s="219">
        <v>3623</v>
      </c>
      <c r="B198" s="106">
        <v>41421</v>
      </c>
      <c r="C198" s="92" t="s">
        <v>527</v>
      </c>
      <c r="D198" s="105">
        <v>40</v>
      </c>
      <c r="E198" s="413">
        <f>D198/'12 - Equity Statement'!$M$10</f>
        <v>6.5374432059621483</v>
      </c>
      <c r="F198" s="92" t="s">
        <v>510</v>
      </c>
      <c r="G198" s="91" t="s">
        <v>132</v>
      </c>
      <c r="H198" s="355" t="s">
        <v>1071</v>
      </c>
      <c r="I198" s="91" t="s">
        <v>1110</v>
      </c>
      <c r="J198" s="92" t="s">
        <v>188</v>
      </c>
      <c r="K198" s="356" t="s">
        <v>29</v>
      </c>
      <c r="L198" s="416"/>
    </row>
    <row r="199" spans="1:12">
      <c r="A199" s="219">
        <v>3625</v>
      </c>
      <c r="B199" s="106">
        <v>41423</v>
      </c>
      <c r="C199" s="92" t="s">
        <v>180</v>
      </c>
      <c r="D199" s="105">
        <v>50</v>
      </c>
      <c r="E199" s="413">
        <f>D199/'12 - Equity Statement'!$M$10</f>
        <v>8.1718040074526854</v>
      </c>
      <c r="F199" s="92" t="s">
        <v>403</v>
      </c>
      <c r="G199" s="91" t="s">
        <v>114</v>
      </c>
      <c r="H199" s="355" t="s">
        <v>1071</v>
      </c>
      <c r="I199" s="91" t="s">
        <v>1110</v>
      </c>
      <c r="J199" s="92" t="s">
        <v>188</v>
      </c>
      <c r="K199" s="356" t="s">
        <v>34</v>
      </c>
      <c r="L199" s="416"/>
    </row>
    <row r="200" spans="1:12">
      <c r="A200" s="219">
        <v>3626</v>
      </c>
      <c r="B200" s="106">
        <v>41424</v>
      </c>
      <c r="C200" s="92" t="s">
        <v>733</v>
      </c>
      <c r="D200" s="105">
        <v>13</v>
      </c>
      <c r="E200" s="413">
        <f>D200/'12 - Equity Statement'!$M$10</f>
        <v>2.1246690419376981</v>
      </c>
      <c r="F200" s="92" t="s">
        <v>609</v>
      </c>
      <c r="G200" s="91" t="s">
        <v>114</v>
      </c>
      <c r="H200" s="355" t="s">
        <v>1071</v>
      </c>
      <c r="I200" s="268" t="s">
        <v>1109</v>
      </c>
      <c r="J200" s="92" t="s">
        <v>188</v>
      </c>
      <c r="K200" s="356" t="s">
        <v>29</v>
      </c>
      <c r="L200" s="416"/>
    </row>
    <row r="201" spans="1:12">
      <c r="A201" s="219">
        <v>3627</v>
      </c>
      <c r="B201" s="106">
        <v>41424</v>
      </c>
      <c r="C201" s="92" t="s">
        <v>528</v>
      </c>
      <c r="D201" s="105">
        <v>65</v>
      </c>
      <c r="E201" s="413">
        <f>D201/'12 - Equity Statement'!$M$10</f>
        <v>10.623345209688491</v>
      </c>
      <c r="F201" s="92" t="s">
        <v>638</v>
      </c>
      <c r="G201" s="91" t="s">
        <v>114</v>
      </c>
      <c r="H201" s="355" t="s">
        <v>1071</v>
      </c>
      <c r="I201" s="91" t="s">
        <v>1110</v>
      </c>
      <c r="J201" s="92" t="s">
        <v>188</v>
      </c>
      <c r="K201" s="356" t="s">
        <v>29</v>
      </c>
      <c r="L201" s="416"/>
    </row>
    <row r="202" spans="1:12">
      <c r="A202" s="219">
        <v>3628</v>
      </c>
      <c r="B202" s="106">
        <v>41424</v>
      </c>
      <c r="C202" s="92" t="s">
        <v>529</v>
      </c>
      <c r="D202" s="105">
        <v>1560</v>
      </c>
      <c r="E202" s="413">
        <f>D202/'12 - Equity Statement'!$M$10</f>
        <v>254.96028503252379</v>
      </c>
      <c r="F202" s="92" t="s">
        <v>530</v>
      </c>
      <c r="G202" s="92" t="s">
        <v>111</v>
      </c>
      <c r="H202" s="355" t="s">
        <v>118</v>
      </c>
      <c r="I202" s="91" t="s">
        <v>1110</v>
      </c>
      <c r="J202" s="92" t="s">
        <v>188</v>
      </c>
      <c r="K202" s="355" t="s">
        <v>26</v>
      </c>
      <c r="L202" s="416"/>
    </row>
    <row r="203" spans="1:12">
      <c r="A203" s="219">
        <v>3630</v>
      </c>
      <c r="B203" s="106">
        <v>41425</v>
      </c>
      <c r="C203" s="92" t="s">
        <v>532</v>
      </c>
      <c r="D203" s="105">
        <v>7500</v>
      </c>
      <c r="E203" s="413">
        <f>D203/'12 - Equity Statement'!$M$10</f>
        <v>1225.7706011179027</v>
      </c>
      <c r="F203" s="92" t="s">
        <v>427</v>
      </c>
      <c r="G203" s="91" t="s">
        <v>51</v>
      </c>
      <c r="H203" s="356" t="s">
        <v>119</v>
      </c>
      <c r="I203" s="91" t="s">
        <v>1109</v>
      </c>
      <c r="J203" s="92" t="s">
        <v>188</v>
      </c>
      <c r="K203" s="355"/>
      <c r="L203" s="416"/>
    </row>
    <row r="204" spans="1:12">
      <c r="A204" s="219">
        <v>3629</v>
      </c>
      <c r="B204" s="106">
        <v>41425</v>
      </c>
      <c r="C204" s="92" t="s">
        <v>531</v>
      </c>
      <c r="D204" s="105">
        <v>10000</v>
      </c>
      <c r="E204" s="413">
        <f>D204/'12 - Equity Statement'!$M$10</f>
        <v>1634.3608014905371</v>
      </c>
      <c r="F204" s="92" t="s">
        <v>511</v>
      </c>
      <c r="G204" s="91" t="s">
        <v>51</v>
      </c>
      <c r="H204" s="355" t="s">
        <v>118</v>
      </c>
      <c r="I204" s="91" t="s">
        <v>1109</v>
      </c>
      <c r="J204" s="91" t="s">
        <v>175</v>
      </c>
      <c r="K204" s="355" t="s">
        <v>23</v>
      </c>
      <c r="L204" s="416"/>
    </row>
    <row r="205" spans="1:12">
      <c r="A205" s="219">
        <v>3632</v>
      </c>
      <c r="B205" s="106">
        <v>41425</v>
      </c>
      <c r="C205" s="92" t="s">
        <v>688</v>
      </c>
      <c r="D205" s="105">
        <v>4200</v>
      </c>
      <c r="E205" s="413">
        <f>D205/'12 - Equity Statement'!$M$10</f>
        <v>686.4315366260256</v>
      </c>
      <c r="F205" s="92" t="s">
        <v>375</v>
      </c>
      <c r="G205" s="91" t="s">
        <v>53</v>
      </c>
      <c r="H205" s="355" t="s">
        <v>1071</v>
      </c>
      <c r="I205" s="91" t="s">
        <v>1109</v>
      </c>
      <c r="J205" s="92" t="s">
        <v>188</v>
      </c>
      <c r="K205" s="356" t="s">
        <v>34</v>
      </c>
      <c r="L205" s="416"/>
    </row>
    <row r="206" spans="1:12">
      <c r="A206" s="219">
        <v>3641</v>
      </c>
      <c r="B206" s="106">
        <v>41425</v>
      </c>
      <c r="C206" s="92" t="s">
        <v>472</v>
      </c>
      <c r="D206" s="105">
        <v>1018.08</v>
      </c>
      <c r="E206" s="413">
        <f>D206/'12 - Equity Statement'!$M$10</f>
        <v>166.3910044781486</v>
      </c>
      <c r="F206" s="92" t="s">
        <v>409</v>
      </c>
      <c r="G206" s="91" t="s">
        <v>52</v>
      </c>
      <c r="H206" s="356" t="s">
        <v>119</v>
      </c>
      <c r="I206" s="91" t="s">
        <v>1109</v>
      </c>
      <c r="J206" s="92" t="s">
        <v>292</v>
      </c>
      <c r="K206" s="355"/>
      <c r="L206" s="416"/>
    </row>
    <row r="207" spans="1:12">
      <c r="A207" s="219">
        <v>3631</v>
      </c>
      <c r="B207" s="106">
        <v>41425</v>
      </c>
      <c r="C207" s="92" t="s">
        <v>428</v>
      </c>
      <c r="D207" s="105">
        <v>5500</v>
      </c>
      <c r="E207" s="413">
        <f>D207/'12 - Equity Statement'!$M$10</f>
        <v>898.89844081979538</v>
      </c>
      <c r="F207" s="92" t="s">
        <v>509</v>
      </c>
      <c r="G207" s="91" t="s">
        <v>108</v>
      </c>
      <c r="H207" s="355" t="s">
        <v>1071</v>
      </c>
      <c r="I207" s="91" t="s">
        <v>1110</v>
      </c>
      <c r="J207" s="92" t="s">
        <v>188</v>
      </c>
      <c r="K207" s="355" t="s">
        <v>32</v>
      </c>
      <c r="L207" s="416"/>
    </row>
    <row r="208" spans="1:12">
      <c r="A208" s="219">
        <v>3634</v>
      </c>
      <c r="B208" s="106">
        <v>41425</v>
      </c>
      <c r="C208" s="92" t="s">
        <v>1124</v>
      </c>
      <c r="D208" s="105">
        <v>13000</v>
      </c>
      <c r="E208" s="413">
        <f>D208/'12 - Equity Statement'!$M$10</f>
        <v>2124.6690419376982</v>
      </c>
      <c r="F208" s="92" t="s">
        <v>304</v>
      </c>
      <c r="G208" s="91" t="s">
        <v>108</v>
      </c>
      <c r="H208" s="355" t="s">
        <v>1071</v>
      </c>
      <c r="I208" s="91" t="s">
        <v>1110</v>
      </c>
      <c r="J208" s="92" t="s">
        <v>188</v>
      </c>
      <c r="K208" s="356" t="s">
        <v>30</v>
      </c>
      <c r="L208" s="416"/>
    </row>
    <row r="209" spans="1:12">
      <c r="A209" s="219">
        <v>3636</v>
      </c>
      <c r="B209" s="106">
        <v>41425</v>
      </c>
      <c r="C209" s="92" t="s">
        <v>1135</v>
      </c>
      <c r="D209" s="105">
        <v>6000</v>
      </c>
      <c r="E209" s="413">
        <f>D209/'12 - Equity Statement'!$M$10</f>
        <v>980.61648089432231</v>
      </c>
      <c r="F209" s="92" t="s">
        <v>404</v>
      </c>
      <c r="G209" s="91" t="s">
        <v>108</v>
      </c>
      <c r="H209" s="356" t="s">
        <v>119</v>
      </c>
      <c r="I209" s="91" t="s">
        <v>1110</v>
      </c>
      <c r="J209" s="92" t="s">
        <v>188</v>
      </c>
      <c r="K209" s="355"/>
      <c r="L209" s="416"/>
    </row>
    <row r="210" spans="1:12">
      <c r="A210" s="219">
        <v>3633</v>
      </c>
      <c r="B210" s="106">
        <v>41425</v>
      </c>
      <c r="C210" s="92" t="s">
        <v>689</v>
      </c>
      <c r="D210" s="105">
        <v>3000</v>
      </c>
      <c r="E210" s="413">
        <f>D210/'12 - Equity Statement'!$M$10</f>
        <v>490.30824044716115</v>
      </c>
      <c r="F210" s="92" t="s">
        <v>510</v>
      </c>
      <c r="G210" s="91" t="s">
        <v>108</v>
      </c>
      <c r="H210" s="355" t="s">
        <v>1071</v>
      </c>
      <c r="I210" s="91" t="s">
        <v>1110</v>
      </c>
      <c r="J210" s="92" t="s">
        <v>188</v>
      </c>
      <c r="K210" s="355" t="s">
        <v>32</v>
      </c>
      <c r="L210" s="416"/>
    </row>
    <row r="211" spans="1:12">
      <c r="A211" s="219">
        <v>3639</v>
      </c>
      <c r="B211" s="106">
        <v>41425</v>
      </c>
      <c r="C211" s="92" t="s">
        <v>1147</v>
      </c>
      <c r="D211" s="105">
        <v>4500</v>
      </c>
      <c r="E211" s="413">
        <f>D211/'12 - Equity Statement'!$M$10</f>
        <v>735.46236067074165</v>
      </c>
      <c r="F211" s="92" t="s">
        <v>183</v>
      </c>
      <c r="G211" s="92" t="s">
        <v>111</v>
      </c>
      <c r="H211" s="356" t="s">
        <v>119</v>
      </c>
      <c r="I211" s="91" t="s">
        <v>1110</v>
      </c>
      <c r="J211" s="92" t="s">
        <v>101</v>
      </c>
      <c r="K211" s="355"/>
      <c r="L211" s="416"/>
    </row>
    <row r="212" spans="1:12">
      <c r="A212" s="219">
        <v>3638</v>
      </c>
      <c r="B212" s="106">
        <v>41425</v>
      </c>
      <c r="C212" s="92" t="s">
        <v>1157</v>
      </c>
      <c r="D212" s="105">
        <v>4500</v>
      </c>
      <c r="E212" s="413">
        <f>D212/'12 - Equity Statement'!$M$10</f>
        <v>735.46236067074165</v>
      </c>
      <c r="F212" s="92" t="s">
        <v>182</v>
      </c>
      <c r="G212" s="92" t="s">
        <v>111</v>
      </c>
      <c r="H212" s="356" t="s">
        <v>119</v>
      </c>
      <c r="I212" s="91" t="s">
        <v>1110</v>
      </c>
      <c r="J212" s="92" t="s">
        <v>101</v>
      </c>
      <c r="K212" s="355"/>
      <c r="L212" s="416"/>
    </row>
    <row r="213" spans="1:12">
      <c r="A213" s="219">
        <v>3637</v>
      </c>
      <c r="B213" s="106">
        <v>41425</v>
      </c>
      <c r="C213" s="92" t="s">
        <v>1173</v>
      </c>
      <c r="D213" s="105">
        <v>12000</v>
      </c>
      <c r="E213" s="413">
        <f>D213/'12 - Equity Statement'!$M$10</f>
        <v>1961.2329617886446</v>
      </c>
      <c r="F213" s="92" t="s">
        <v>184</v>
      </c>
      <c r="G213" s="92" t="s">
        <v>111</v>
      </c>
      <c r="H213" s="356" t="s">
        <v>119</v>
      </c>
      <c r="I213" s="91" t="s">
        <v>1110</v>
      </c>
      <c r="J213" s="92" t="s">
        <v>101</v>
      </c>
      <c r="K213" s="355"/>
      <c r="L213" s="416"/>
    </row>
    <row r="214" spans="1:12">
      <c r="A214" s="219">
        <v>3635</v>
      </c>
      <c r="B214" s="106">
        <v>41425</v>
      </c>
      <c r="C214" s="92" t="s">
        <v>1178</v>
      </c>
      <c r="D214" s="105">
        <v>4000</v>
      </c>
      <c r="E214" s="413">
        <f>D214/'12 - Equity Statement'!$M$10</f>
        <v>653.74432059621483</v>
      </c>
      <c r="F214" s="92" t="s">
        <v>573</v>
      </c>
      <c r="G214" s="92" t="s">
        <v>111</v>
      </c>
      <c r="H214" s="355" t="s">
        <v>1071</v>
      </c>
      <c r="I214" s="91" t="s">
        <v>1110</v>
      </c>
      <c r="J214" s="92" t="s">
        <v>188</v>
      </c>
      <c r="K214" s="356" t="s">
        <v>29</v>
      </c>
      <c r="L214" s="416"/>
    </row>
    <row r="215" spans="1:12">
      <c r="A215" s="219">
        <v>3640</v>
      </c>
      <c r="B215" s="106">
        <v>41425</v>
      </c>
      <c r="C215" s="92" t="s">
        <v>575</v>
      </c>
      <c r="D215" s="105">
        <v>50</v>
      </c>
      <c r="E215" s="413">
        <f>D215/'12 - Equity Statement'!$M$10</f>
        <v>8.1718040074526854</v>
      </c>
      <c r="F215" s="92" t="s">
        <v>510</v>
      </c>
      <c r="G215" s="91" t="s">
        <v>132</v>
      </c>
      <c r="H215" s="355" t="s">
        <v>1071</v>
      </c>
      <c r="I215" s="91" t="s">
        <v>1110</v>
      </c>
      <c r="J215" s="92" t="s">
        <v>188</v>
      </c>
      <c r="K215" s="356" t="s">
        <v>29</v>
      </c>
      <c r="L215" s="416"/>
    </row>
    <row r="216" spans="1:12">
      <c r="A216" s="219">
        <v>3700</v>
      </c>
      <c r="B216" s="106">
        <v>41426</v>
      </c>
      <c r="C216" s="92" t="s">
        <v>640</v>
      </c>
      <c r="D216" s="105">
        <v>320</v>
      </c>
      <c r="E216" s="413">
        <f>D216/'12 - Equity Statement'!$N$10</f>
        <v>52.870714580751752</v>
      </c>
      <c r="F216" s="92" t="s">
        <v>641</v>
      </c>
      <c r="G216" s="92" t="s">
        <v>106</v>
      </c>
      <c r="H216" s="355" t="s">
        <v>1071</v>
      </c>
      <c r="I216" s="91" t="s">
        <v>1110</v>
      </c>
      <c r="J216" s="92" t="s">
        <v>188</v>
      </c>
      <c r="K216" s="355" t="s">
        <v>34</v>
      </c>
      <c r="L216" s="416"/>
    </row>
    <row r="217" spans="1:12">
      <c r="A217" s="219">
        <v>3653</v>
      </c>
      <c r="B217" s="106">
        <v>41427</v>
      </c>
      <c r="C217" s="92" t="s">
        <v>642</v>
      </c>
      <c r="D217" s="105">
        <v>752</v>
      </c>
      <c r="E217" s="413">
        <f>D217/'12 - Equity Statement'!$N$10</f>
        <v>124.24617926476662</v>
      </c>
      <c r="F217" s="92" t="s">
        <v>643</v>
      </c>
      <c r="G217" s="92" t="s">
        <v>106</v>
      </c>
      <c r="H217" s="356" t="s">
        <v>119</v>
      </c>
      <c r="I217" s="91" t="s">
        <v>1110</v>
      </c>
      <c r="J217" s="92" t="s">
        <v>101</v>
      </c>
      <c r="K217" s="355"/>
      <c r="L217" s="416"/>
    </row>
    <row r="218" spans="1:12" ht="15">
      <c r="A218" s="219">
        <v>3706</v>
      </c>
      <c r="B218" s="106">
        <v>41428</v>
      </c>
      <c r="C218" s="92" t="s">
        <v>644</v>
      </c>
      <c r="D218" s="423"/>
      <c r="E218" s="413">
        <v>44.95</v>
      </c>
      <c r="F218" s="92" t="s">
        <v>645</v>
      </c>
      <c r="G218" s="91" t="s">
        <v>114</v>
      </c>
      <c r="H218" s="355" t="s">
        <v>118</v>
      </c>
      <c r="I218" s="91" t="s">
        <v>1110</v>
      </c>
      <c r="J218" s="92" t="s">
        <v>102</v>
      </c>
      <c r="K218" s="355" t="s">
        <v>23</v>
      </c>
      <c r="L218" s="416"/>
    </row>
    <row r="219" spans="1:12">
      <c r="A219" s="219">
        <v>3686</v>
      </c>
      <c r="B219" s="106">
        <v>41429</v>
      </c>
      <c r="C219" s="92" t="s">
        <v>646</v>
      </c>
      <c r="D219" s="105">
        <v>1100</v>
      </c>
      <c r="E219" s="413">
        <f>D219/'12 - Equity Statement'!$N$10</f>
        <v>181.74308137133414</v>
      </c>
      <c r="F219" s="92" t="s">
        <v>647</v>
      </c>
      <c r="G219" s="92" t="s">
        <v>108</v>
      </c>
      <c r="H219" s="355" t="s">
        <v>1071</v>
      </c>
      <c r="I219" s="91" t="s">
        <v>1110</v>
      </c>
      <c r="J219" s="92" t="s">
        <v>188</v>
      </c>
      <c r="K219" s="356" t="s">
        <v>29</v>
      </c>
      <c r="L219" s="416"/>
    </row>
    <row r="220" spans="1:12">
      <c r="A220" s="219">
        <v>3687</v>
      </c>
      <c r="B220" s="106">
        <v>41429</v>
      </c>
      <c r="C220" s="92" t="s">
        <v>648</v>
      </c>
      <c r="D220" s="105">
        <v>20</v>
      </c>
      <c r="E220" s="413">
        <f>D220/'12 - Equity Statement'!$N$10</f>
        <v>3.3044196612969845</v>
      </c>
      <c r="F220" s="92" t="s">
        <v>403</v>
      </c>
      <c r="G220" s="91" t="s">
        <v>114</v>
      </c>
      <c r="H220" s="355" t="s">
        <v>1071</v>
      </c>
      <c r="I220" s="268" t="s">
        <v>1109</v>
      </c>
      <c r="J220" s="92" t="s">
        <v>188</v>
      </c>
      <c r="K220" s="356" t="s">
        <v>29</v>
      </c>
      <c r="L220" s="416"/>
    </row>
    <row r="221" spans="1:12" ht="15">
      <c r="A221" s="219">
        <v>3705</v>
      </c>
      <c r="B221" s="106">
        <v>41429</v>
      </c>
      <c r="C221" s="92" t="s">
        <v>649</v>
      </c>
      <c r="D221" s="423"/>
      <c r="E221" s="413">
        <v>200</v>
      </c>
      <c r="F221" s="92" t="s">
        <v>185</v>
      </c>
      <c r="G221" s="92" t="s">
        <v>113</v>
      </c>
      <c r="H221" s="408" t="s">
        <v>123</v>
      </c>
      <c r="I221" s="91" t="s">
        <v>1110</v>
      </c>
      <c r="J221" s="92" t="s">
        <v>290</v>
      </c>
      <c r="K221" s="355"/>
      <c r="L221" s="416"/>
    </row>
    <row r="222" spans="1:12">
      <c r="A222" s="219">
        <v>3652</v>
      </c>
      <c r="B222" s="106">
        <v>41430</v>
      </c>
      <c r="C222" s="92" t="s">
        <v>650</v>
      </c>
      <c r="D222" s="105">
        <v>6000</v>
      </c>
      <c r="E222" s="413">
        <f>D222/'12 - Equity Statement'!$N$10</f>
        <v>991.32589838909541</v>
      </c>
      <c r="F222" s="92" t="s">
        <v>651</v>
      </c>
      <c r="G222" s="92" t="s">
        <v>111</v>
      </c>
      <c r="H222" s="356" t="s">
        <v>119</v>
      </c>
      <c r="I222" s="91" t="s">
        <v>1110</v>
      </c>
      <c r="J222" s="92" t="s">
        <v>101</v>
      </c>
      <c r="K222" s="355"/>
      <c r="L222" s="416"/>
    </row>
    <row r="223" spans="1:12">
      <c r="A223" s="219">
        <v>3701</v>
      </c>
      <c r="B223" s="106">
        <v>41430</v>
      </c>
      <c r="C223" s="92" t="s">
        <v>356</v>
      </c>
      <c r="D223" s="105">
        <v>52800</v>
      </c>
      <c r="E223" s="413">
        <f>D223/'12 - Equity Statement'!$N$10</f>
        <v>8723.6679058240388</v>
      </c>
      <c r="F223" s="92" t="s">
        <v>357</v>
      </c>
      <c r="G223" s="92" t="s">
        <v>113</v>
      </c>
      <c r="H223" s="355" t="s">
        <v>118</v>
      </c>
      <c r="I223" s="268" t="s">
        <v>1109</v>
      </c>
      <c r="J223" s="92" t="s">
        <v>101</v>
      </c>
      <c r="K223" s="355" t="s">
        <v>23</v>
      </c>
      <c r="L223" s="416"/>
    </row>
    <row r="224" spans="1:12">
      <c r="A224" s="219">
        <v>3702</v>
      </c>
      <c r="B224" s="106">
        <v>41430</v>
      </c>
      <c r="C224" s="92" t="s">
        <v>358</v>
      </c>
      <c r="D224" s="105">
        <v>13200</v>
      </c>
      <c r="E224" s="413">
        <f>D224/'12 - Equity Statement'!$N$10</f>
        <v>2180.9169764560097</v>
      </c>
      <c r="F224" s="92" t="s">
        <v>357</v>
      </c>
      <c r="G224" s="92" t="s">
        <v>113</v>
      </c>
      <c r="H224" s="355" t="s">
        <v>1071</v>
      </c>
      <c r="I224" s="268" t="s">
        <v>1109</v>
      </c>
      <c r="J224" s="92" t="s">
        <v>101</v>
      </c>
      <c r="K224" s="355" t="s">
        <v>32</v>
      </c>
      <c r="L224" s="416"/>
    </row>
    <row r="225" spans="1:12">
      <c r="A225" s="219">
        <v>3688</v>
      </c>
      <c r="B225" s="106">
        <v>41430</v>
      </c>
      <c r="C225" s="92" t="s">
        <v>353</v>
      </c>
      <c r="D225" s="105">
        <v>24</v>
      </c>
      <c r="E225" s="413">
        <f>D225/'12 - Equity Statement'!$N$10</f>
        <v>3.9653035935563814</v>
      </c>
      <c r="F225" s="92" t="s">
        <v>354</v>
      </c>
      <c r="G225" s="92" t="s">
        <v>113</v>
      </c>
      <c r="H225" s="355" t="s">
        <v>1071</v>
      </c>
      <c r="I225" s="91" t="s">
        <v>1110</v>
      </c>
      <c r="J225" s="92" t="s">
        <v>101</v>
      </c>
      <c r="K225" s="356" t="s">
        <v>34</v>
      </c>
      <c r="L225" s="416"/>
    </row>
    <row r="226" spans="1:12">
      <c r="A226" s="219">
        <v>3689</v>
      </c>
      <c r="B226" s="106">
        <v>41430</v>
      </c>
      <c r="C226" s="92" t="s">
        <v>355</v>
      </c>
      <c r="D226" s="105">
        <v>140</v>
      </c>
      <c r="E226" s="413">
        <f>D226/'12 - Equity Statement'!$N$10</f>
        <v>23.130937629078893</v>
      </c>
      <c r="F226" s="92" t="s">
        <v>510</v>
      </c>
      <c r="G226" s="91" t="s">
        <v>132</v>
      </c>
      <c r="H226" s="355" t="s">
        <v>1071</v>
      </c>
      <c r="I226" s="91" t="s">
        <v>1110</v>
      </c>
      <c r="J226" s="92" t="s">
        <v>188</v>
      </c>
      <c r="K226" s="356" t="s">
        <v>29</v>
      </c>
      <c r="L226" s="416"/>
    </row>
    <row r="227" spans="1:12">
      <c r="A227" s="219">
        <v>3657</v>
      </c>
      <c r="B227" s="106">
        <v>41431</v>
      </c>
      <c r="C227" s="92" t="s">
        <v>557</v>
      </c>
      <c r="D227" s="105">
        <v>1988.32</v>
      </c>
      <c r="E227" s="413">
        <f>D227/'12 - Equity Statement'!$N$10</f>
        <v>328.51218504750102</v>
      </c>
      <c r="F227" s="92" t="s">
        <v>409</v>
      </c>
      <c r="G227" s="91" t="s">
        <v>52</v>
      </c>
      <c r="H227" s="356" t="s">
        <v>119</v>
      </c>
      <c r="I227" s="91" t="s">
        <v>1109</v>
      </c>
      <c r="J227" s="92" t="s">
        <v>292</v>
      </c>
      <c r="K227" s="355"/>
      <c r="L227" s="416"/>
    </row>
    <row r="228" spans="1:12">
      <c r="A228" s="219">
        <v>3685</v>
      </c>
      <c r="B228" s="106">
        <v>41431</v>
      </c>
      <c r="C228" s="92" t="s">
        <v>180</v>
      </c>
      <c r="D228" s="105">
        <v>50</v>
      </c>
      <c r="E228" s="413">
        <f>D228/'12 - Equity Statement'!$N$10</f>
        <v>8.2610491532424621</v>
      </c>
      <c r="F228" s="92" t="s">
        <v>403</v>
      </c>
      <c r="G228" s="91" t="s">
        <v>114</v>
      </c>
      <c r="H228" s="355" t="s">
        <v>1071</v>
      </c>
      <c r="I228" s="91" t="s">
        <v>1110</v>
      </c>
      <c r="J228" s="92" t="s">
        <v>188</v>
      </c>
      <c r="K228" s="356" t="s">
        <v>34</v>
      </c>
      <c r="L228" s="416"/>
    </row>
    <row r="229" spans="1:12">
      <c r="A229" s="219">
        <v>3681</v>
      </c>
      <c r="B229" s="106">
        <v>41431</v>
      </c>
      <c r="C229" s="92" t="s">
        <v>359</v>
      </c>
      <c r="D229" s="105">
        <v>12</v>
      </c>
      <c r="E229" s="413">
        <f>D229/'12 - Equity Statement'!$N$10</f>
        <v>1.9826517967781907</v>
      </c>
      <c r="F229" s="92" t="s">
        <v>179</v>
      </c>
      <c r="G229" s="91" t="s">
        <v>132</v>
      </c>
      <c r="H229" s="355" t="s">
        <v>1071</v>
      </c>
      <c r="I229" s="268" t="s">
        <v>1109</v>
      </c>
      <c r="J229" s="92" t="s">
        <v>188</v>
      </c>
      <c r="K229" s="356" t="s">
        <v>29</v>
      </c>
      <c r="L229" s="416"/>
    </row>
    <row r="230" spans="1:12">
      <c r="A230" s="219">
        <v>3692</v>
      </c>
      <c r="B230" s="106">
        <v>41432</v>
      </c>
      <c r="C230" s="92" t="s">
        <v>360</v>
      </c>
      <c r="D230" s="105">
        <v>389</v>
      </c>
      <c r="E230" s="413">
        <f>D230/'12 - Equity Statement'!$N$10</f>
        <v>64.270962412226353</v>
      </c>
      <c r="F230" s="92" t="s">
        <v>361</v>
      </c>
      <c r="G230" s="91" t="s">
        <v>19</v>
      </c>
      <c r="H230" s="355" t="s">
        <v>1071</v>
      </c>
      <c r="I230" s="91" t="s">
        <v>1110</v>
      </c>
      <c r="J230" s="92" t="s">
        <v>188</v>
      </c>
      <c r="K230" s="356" t="s">
        <v>32</v>
      </c>
      <c r="L230" s="416"/>
    </row>
    <row r="231" spans="1:12">
      <c r="A231" s="219">
        <v>3684</v>
      </c>
      <c r="B231" s="106">
        <v>41438</v>
      </c>
      <c r="C231" s="92" t="s">
        <v>180</v>
      </c>
      <c r="D231" s="105">
        <v>50</v>
      </c>
      <c r="E231" s="413">
        <f>D231/'12 - Equity Statement'!$N$10</f>
        <v>8.2610491532424621</v>
      </c>
      <c r="F231" s="92" t="s">
        <v>403</v>
      </c>
      <c r="G231" s="91" t="s">
        <v>114</v>
      </c>
      <c r="H231" s="355" t="s">
        <v>1071</v>
      </c>
      <c r="I231" s="91" t="s">
        <v>1110</v>
      </c>
      <c r="J231" s="92" t="s">
        <v>188</v>
      </c>
      <c r="K231" s="356" t="s">
        <v>34</v>
      </c>
      <c r="L231" s="416"/>
    </row>
    <row r="232" spans="1:12">
      <c r="A232" s="219">
        <v>3703</v>
      </c>
      <c r="B232" s="106">
        <v>41438</v>
      </c>
      <c r="C232" s="92" t="s">
        <v>263</v>
      </c>
      <c r="D232" s="105">
        <v>49.8</v>
      </c>
      <c r="E232" s="413">
        <f>D232/'12 - Equity Statement'!$N$10</f>
        <v>8.2280049566294906</v>
      </c>
      <c r="F232" s="92" t="s">
        <v>264</v>
      </c>
      <c r="G232" s="92" t="s">
        <v>106</v>
      </c>
      <c r="H232" s="356" t="s">
        <v>119</v>
      </c>
      <c r="I232" s="91" t="s">
        <v>1110</v>
      </c>
      <c r="J232" s="92" t="s">
        <v>101</v>
      </c>
      <c r="K232" s="355"/>
      <c r="L232" s="416"/>
    </row>
    <row r="233" spans="1:12">
      <c r="A233" s="219">
        <v>3683</v>
      </c>
      <c r="B233" s="106">
        <v>41438</v>
      </c>
      <c r="C233" s="92" t="s">
        <v>261</v>
      </c>
      <c r="D233" s="105">
        <v>98</v>
      </c>
      <c r="E233" s="413">
        <f>D233/'12 - Equity Statement'!$N$10</f>
        <v>16.191656340355223</v>
      </c>
      <c r="F233" s="92" t="s">
        <v>262</v>
      </c>
      <c r="G233" s="92" t="s">
        <v>112</v>
      </c>
      <c r="H233" s="355" t="s">
        <v>1071</v>
      </c>
      <c r="I233" s="91" t="s">
        <v>1110</v>
      </c>
      <c r="J233" s="92" t="s">
        <v>188</v>
      </c>
      <c r="K233" s="355" t="s">
        <v>35</v>
      </c>
      <c r="L233" s="416"/>
    </row>
    <row r="234" spans="1:12">
      <c r="A234" s="219">
        <v>3659</v>
      </c>
      <c r="B234" s="106">
        <v>41439</v>
      </c>
      <c r="C234" s="92" t="s">
        <v>269</v>
      </c>
      <c r="D234" s="105">
        <v>480</v>
      </c>
      <c r="E234" s="413">
        <f>D234/'12 - Equity Statement'!$N$10</f>
        <v>79.306071871127628</v>
      </c>
      <c r="F234" s="92" t="s">
        <v>270</v>
      </c>
      <c r="G234" s="91" t="s">
        <v>52</v>
      </c>
      <c r="H234" s="355" t="s">
        <v>1071</v>
      </c>
      <c r="I234" s="91" t="s">
        <v>1109</v>
      </c>
      <c r="J234" s="92" t="s">
        <v>292</v>
      </c>
      <c r="K234" s="355" t="s">
        <v>32</v>
      </c>
      <c r="L234" s="416"/>
    </row>
    <row r="235" spans="1:12">
      <c r="A235" s="219">
        <v>3660</v>
      </c>
      <c r="B235" s="106">
        <v>41439</v>
      </c>
      <c r="C235" s="92" t="s">
        <v>369</v>
      </c>
      <c r="D235" s="105">
        <v>480</v>
      </c>
      <c r="E235" s="413">
        <f>D235/'12 - Equity Statement'!$N$10</f>
        <v>79.306071871127628</v>
      </c>
      <c r="F235" s="92" t="s">
        <v>270</v>
      </c>
      <c r="G235" s="91" t="s">
        <v>52</v>
      </c>
      <c r="H235" s="355" t="s">
        <v>1071</v>
      </c>
      <c r="I235" s="91" t="s">
        <v>1109</v>
      </c>
      <c r="J235" s="92" t="s">
        <v>292</v>
      </c>
      <c r="K235" s="356" t="s">
        <v>29</v>
      </c>
      <c r="L235" s="416"/>
    </row>
    <row r="236" spans="1:12">
      <c r="A236" s="219">
        <v>3680</v>
      </c>
      <c r="B236" s="106">
        <v>41439</v>
      </c>
      <c r="C236" s="92" t="s">
        <v>277</v>
      </c>
      <c r="D236" s="105">
        <v>1007</v>
      </c>
      <c r="E236" s="413">
        <f>D236/'12 - Equity Statement'!$N$10</f>
        <v>166.37752994630318</v>
      </c>
      <c r="F236" s="92" t="s">
        <v>383</v>
      </c>
      <c r="G236" s="91" t="s">
        <v>19</v>
      </c>
      <c r="H236" s="355" t="s">
        <v>1071</v>
      </c>
      <c r="I236" s="268" t="s">
        <v>1109</v>
      </c>
      <c r="J236" s="92" t="s">
        <v>101</v>
      </c>
      <c r="K236" s="356" t="s">
        <v>32</v>
      </c>
      <c r="L236" s="416"/>
    </row>
    <row r="237" spans="1:12">
      <c r="A237" s="219">
        <v>3679</v>
      </c>
      <c r="B237" s="106">
        <v>41439</v>
      </c>
      <c r="C237" s="92" t="s">
        <v>371</v>
      </c>
      <c r="D237" s="105">
        <v>3000</v>
      </c>
      <c r="E237" s="413">
        <f>D237/'12 - Equity Statement'!$N$10</f>
        <v>495.66294919454771</v>
      </c>
      <c r="F237" s="92" t="s">
        <v>276</v>
      </c>
      <c r="G237" s="91" t="s">
        <v>19</v>
      </c>
      <c r="H237" s="355" t="s">
        <v>1071</v>
      </c>
      <c r="I237" s="268" t="s">
        <v>1109</v>
      </c>
      <c r="J237" s="92" t="s">
        <v>188</v>
      </c>
      <c r="K237" s="356" t="s">
        <v>29</v>
      </c>
      <c r="L237" s="416"/>
    </row>
    <row r="238" spans="1:12">
      <c r="A238" s="219">
        <v>3661</v>
      </c>
      <c r="B238" s="106">
        <v>41439</v>
      </c>
      <c r="C238" s="92" t="s">
        <v>370</v>
      </c>
      <c r="D238" s="105">
        <v>955.68</v>
      </c>
      <c r="E238" s="413">
        <f>D238/'12 - Equity Statement'!$N$10</f>
        <v>157.8983890954151</v>
      </c>
      <c r="F238" s="92" t="s">
        <v>303</v>
      </c>
      <c r="G238" s="91" t="s">
        <v>116</v>
      </c>
      <c r="H238" s="356" t="s">
        <v>119</v>
      </c>
      <c r="I238" s="91" t="s">
        <v>1109</v>
      </c>
      <c r="J238" s="92" t="s">
        <v>292</v>
      </c>
      <c r="K238" s="355"/>
      <c r="L238" s="416"/>
    </row>
    <row r="239" spans="1:12">
      <c r="A239" s="219">
        <v>3658</v>
      </c>
      <c r="B239" s="106">
        <v>41439</v>
      </c>
      <c r="C239" s="92" t="s">
        <v>558</v>
      </c>
      <c r="D239" s="105">
        <v>345.64</v>
      </c>
      <c r="E239" s="413">
        <f>D239/'12 - Equity Statement'!$N$10</f>
        <v>57.106980586534483</v>
      </c>
      <c r="F239" s="92" t="s">
        <v>181</v>
      </c>
      <c r="G239" s="91" t="s">
        <v>114</v>
      </c>
      <c r="H239" s="355" t="s">
        <v>118</v>
      </c>
      <c r="I239" s="91" t="s">
        <v>1109</v>
      </c>
      <c r="J239" s="92" t="s">
        <v>292</v>
      </c>
      <c r="K239" s="355" t="s">
        <v>23</v>
      </c>
      <c r="L239" s="416"/>
    </row>
    <row r="240" spans="1:12">
      <c r="A240" s="219">
        <v>3682</v>
      </c>
      <c r="B240" s="106">
        <v>41439</v>
      </c>
      <c r="C240" s="92" t="s">
        <v>384</v>
      </c>
      <c r="D240" s="105">
        <v>36</v>
      </c>
      <c r="E240" s="413">
        <f>D240/'12 - Equity Statement'!$N$10</f>
        <v>5.9479553903345721</v>
      </c>
      <c r="F240" s="92" t="s">
        <v>179</v>
      </c>
      <c r="G240" s="91" t="s">
        <v>132</v>
      </c>
      <c r="H240" s="355" t="s">
        <v>1071</v>
      </c>
      <c r="I240" s="268" t="s">
        <v>1109</v>
      </c>
      <c r="J240" s="92" t="s">
        <v>188</v>
      </c>
      <c r="K240" s="356" t="s">
        <v>29</v>
      </c>
      <c r="L240" s="416"/>
    </row>
    <row r="241" spans="1:12">
      <c r="A241" s="219">
        <v>3704</v>
      </c>
      <c r="B241" s="106">
        <v>41441</v>
      </c>
      <c r="C241" s="92" t="s">
        <v>385</v>
      </c>
      <c r="D241" s="105">
        <v>520</v>
      </c>
      <c r="E241" s="413">
        <f>D241/'12 - Equity Statement'!$N$10</f>
        <v>85.914911193721593</v>
      </c>
      <c r="F241" s="92" t="s">
        <v>264</v>
      </c>
      <c r="G241" s="92" t="s">
        <v>106</v>
      </c>
      <c r="H241" s="356" t="s">
        <v>119</v>
      </c>
      <c r="I241" s="91" t="s">
        <v>1110</v>
      </c>
      <c r="J241" s="92" t="s">
        <v>101</v>
      </c>
      <c r="K241" s="355"/>
      <c r="L241" s="416"/>
    </row>
    <row r="242" spans="1:12">
      <c r="A242" s="219">
        <v>3690</v>
      </c>
      <c r="B242" s="106">
        <v>41442</v>
      </c>
      <c r="C242" s="92" t="s">
        <v>487</v>
      </c>
      <c r="D242" s="105">
        <v>50</v>
      </c>
      <c r="E242" s="413">
        <f>D242/'12 - Equity Statement'!$N$10</f>
        <v>8.2610491532424621</v>
      </c>
      <c r="F242" s="92" t="s">
        <v>510</v>
      </c>
      <c r="G242" s="91" t="s">
        <v>132</v>
      </c>
      <c r="H242" s="355" t="s">
        <v>1071</v>
      </c>
      <c r="I242" s="91" t="s">
        <v>1110</v>
      </c>
      <c r="J242" s="92" t="s">
        <v>188</v>
      </c>
      <c r="K242" s="356" t="s">
        <v>29</v>
      </c>
      <c r="L242" s="416"/>
    </row>
    <row r="243" spans="1:12" ht="15">
      <c r="A243" s="219">
        <v>3707</v>
      </c>
      <c r="B243" s="106">
        <v>41442</v>
      </c>
      <c r="C243" s="92" t="s">
        <v>488</v>
      </c>
      <c r="D243" s="423"/>
      <c r="E243" s="413">
        <v>1922.68</v>
      </c>
      <c r="F243" s="92" t="s">
        <v>489</v>
      </c>
      <c r="G243" s="91" t="s">
        <v>132</v>
      </c>
      <c r="H243" s="355" t="s">
        <v>120</v>
      </c>
      <c r="I243" s="91" t="s">
        <v>1110</v>
      </c>
      <c r="J243" s="92" t="s">
        <v>102</v>
      </c>
      <c r="K243" s="356"/>
      <c r="L243" s="416"/>
    </row>
    <row r="244" spans="1:12">
      <c r="A244" s="219">
        <v>3651</v>
      </c>
      <c r="B244" s="106">
        <v>41442</v>
      </c>
      <c r="C244" s="92" t="s">
        <v>386</v>
      </c>
      <c r="D244" s="105">
        <v>45</v>
      </c>
      <c r="E244" s="413">
        <f>D244/'12 - Equity Statement'!$N$10</f>
        <v>7.4349442379182156</v>
      </c>
      <c r="F244" s="92" t="s">
        <v>179</v>
      </c>
      <c r="G244" s="91" t="s">
        <v>132</v>
      </c>
      <c r="H244" s="356" t="s">
        <v>119</v>
      </c>
      <c r="I244" s="268" t="s">
        <v>1109</v>
      </c>
      <c r="J244" s="92" t="s">
        <v>188</v>
      </c>
      <c r="K244" s="355"/>
      <c r="L244" s="416"/>
    </row>
    <row r="245" spans="1:12">
      <c r="A245" s="219">
        <v>3662</v>
      </c>
      <c r="B245" s="106">
        <v>41443</v>
      </c>
      <c r="C245" s="92" t="s">
        <v>186</v>
      </c>
      <c r="D245" s="105">
        <v>173.6</v>
      </c>
      <c r="E245" s="413">
        <f>D245/'12 - Equity Statement'!$N$10</f>
        <v>28.682362660057827</v>
      </c>
      <c r="F245" s="92" t="s">
        <v>302</v>
      </c>
      <c r="G245" s="91" t="s">
        <v>114</v>
      </c>
      <c r="H245" s="355" t="s">
        <v>1071</v>
      </c>
      <c r="I245" s="91" t="s">
        <v>1109</v>
      </c>
      <c r="J245" s="92" t="s">
        <v>292</v>
      </c>
      <c r="K245" s="356" t="s">
        <v>29</v>
      </c>
      <c r="L245" s="416"/>
    </row>
    <row r="246" spans="1:12" ht="15">
      <c r="A246" s="219">
        <v>3708</v>
      </c>
      <c r="B246" s="106">
        <v>41443</v>
      </c>
      <c r="C246" s="92" t="s">
        <v>490</v>
      </c>
      <c r="D246" s="423"/>
      <c r="E246" s="413">
        <v>19.18</v>
      </c>
      <c r="F246" s="92" t="s">
        <v>491</v>
      </c>
      <c r="G246" s="92" t="s">
        <v>111</v>
      </c>
      <c r="H246" s="355" t="s">
        <v>118</v>
      </c>
      <c r="I246" s="91" t="s">
        <v>1110</v>
      </c>
      <c r="J246" s="92" t="s">
        <v>102</v>
      </c>
      <c r="K246" s="355" t="s">
        <v>26</v>
      </c>
      <c r="L246" s="416"/>
    </row>
    <row r="247" spans="1:12">
      <c r="A247" s="219">
        <v>3718</v>
      </c>
      <c r="B247" s="106">
        <v>41443</v>
      </c>
      <c r="C247" s="92" t="s">
        <v>492</v>
      </c>
      <c r="D247" s="105">
        <v>150</v>
      </c>
      <c r="E247" s="413">
        <f>D247/'12 - Equity Statement'!$N$10</f>
        <v>24.783147459727385</v>
      </c>
      <c r="F247" s="92" t="s">
        <v>493</v>
      </c>
      <c r="G247" s="92" t="s">
        <v>106</v>
      </c>
      <c r="H247" s="355" t="s">
        <v>1071</v>
      </c>
      <c r="I247" s="91" t="s">
        <v>1110</v>
      </c>
      <c r="J247" s="92" t="s">
        <v>188</v>
      </c>
      <c r="K247" s="355" t="s">
        <v>34</v>
      </c>
      <c r="L247" s="416"/>
    </row>
    <row r="248" spans="1:12" ht="15">
      <c r="A248" s="219">
        <v>3709</v>
      </c>
      <c r="B248" s="106">
        <v>41444</v>
      </c>
      <c r="C248" s="92" t="s">
        <v>494</v>
      </c>
      <c r="D248" s="423"/>
      <c r="E248" s="413">
        <v>59.95</v>
      </c>
      <c r="F248" s="92" t="s">
        <v>495</v>
      </c>
      <c r="G248" s="92" t="s">
        <v>106</v>
      </c>
      <c r="H248" s="356" t="s">
        <v>119</v>
      </c>
      <c r="I248" s="91" t="s">
        <v>1110</v>
      </c>
      <c r="J248" s="92" t="s">
        <v>102</v>
      </c>
      <c r="K248" s="355"/>
      <c r="L248" s="416"/>
    </row>
    <row r="249" spans="1:12">
      <c r="A249" s="219">
        <v>3691</v>
      </c>
      <c r="B249" s="106">
        <v>41445</v>
      </c>
      <c r="C249" s="92" t="s">
        <v>593</v>
      </c>
      <c r="D249" s="105">
        <v>46</v>
      </c>
      <c r="E249" s="413">
        <f>D249/'12 - Equity Statement'!$N$10</f>
        <v>7.6001652209830644</v>
      </c>
      <c r="F249" s="92" t="s">
        <v>510</v>
      </c>
      <c r="G249" s="91" t="s">
        <v>132</v>
      </c>
      <c r="H249" s="356" t="s">
        <v>119</v>
      </c>
      <c r="I249" s="91" t="s">
        <v>1110</v>
      </c>
      <c r="J249" s="92" t="s">
        <v>188</v>
      </c>
      <c r="K249" s="355"/>
      <c r="L249" s="416"/>
    </row>
    <row r="250" spans="1:12">
      <c r="A250" s="219">
        <v>3711</v>
      </c>
      <c r="B250" s="106">
        <v>41445</v>
      </c>
      <c r="C250" s="92" t="s">
        <v>591</v>
      </c>
      <c r="D250" s="105">
        <v>2231</v>
      </c>
      <c r="E250" s="413">
        <f>D250/'12 - Equity Statement'!$N$10</f>
        <v>368.60801321767866</v>
      </c>
      <c r="F250" s="92" t="s">
        <v>489</v>
      </c>
      <c r="G250" s="91" t="s">
        <v>132</v>
      </c>
      <c r="H250" s="355" t="s">
        <v>118</v>
      </c>
      <c r="I250" s="91" t="s">
        <v>1110</v>
      </c>
      <c r="J250" s="92" t="s">
        <v>101</v>
      </c>
      <c r="K250" s="355" t="s">
        <v>26</v>
      </c>
      <c r="L250" s="416"/>
    </row>
    <row r="251" spans="1:12">
      <c r="A251" s="219">
        <v>3712</v>
      </c>
      <c r="B251" s="106">
        <v>41446</v>
      </c>
      <c r="C251" s="91" t="s">
        <v>1162</v>
      </c>
      <c r="D251" s="105">
        <v>8000</v>
      </c>
      <c r="E251" s="413">
        <f>D251/'12 - Equity Statement'!$N$10</f>
        <v>1321.7678645187939</v>
      </c>
      <c r="F251" s="92" t="s">
        <v>184</v>
      </c>
      <c r="G251" s="92" t="s">
        <v>111</v>
      </c>
      <c r="H251" s="356" t="s">
        <v>119</v>
      </c>
      <c r="I251" s="91" t="s">
        <v>1110</v>
      </c>
      <c r="J251" s="92" t="s">
        <v>188</v>
      </c>
      <c r="K251" s="355"/>
      <c r="L251" s="416"/>
    </row>
    <row r="252" spans="1:12">
      <c r="A252" s="219">
        <v>3710</v>
      </c>
      <c r="B252" s="106">
        <v>41446</v>
      </c>
      <c r="C252" s="92" t="s">
        <v>592</v>
      </c>
      <c r="D252" s="105">
        <v>887</v>
      </c>
      <c r="E252" s="413">
        <f>D252/'12 - Equity Statement'!$N$10</f>
        <v>146.55101197852127</v>
      </c>
      <c r="F252" s="92" t="s">
        <v>559</v>
      </c>
      <c r="G252" s="91" t="s">
        <v>132</v>
      </c>
      <c r="H252" s="356" t="s">
        <v>119</v>
      </c>
      <c r="I252" s="268" t="s">
        <v>1109</v>
      </c>
      <c r="J252" s="92" t="s">
        <v>188</v>
      </c>
      <c r="K252" s="356"/>
      <c r="L252" s="416"/>
    </row>
    <row r="253" spans="1:12">
      <c r="A253" s="219">
        <v>3717</v>
      </c>
      <c r="B253" s="106">
        <v>41446</v>
      </c>
      <c r="C253" s="92" t="s">
        <v>585</v>
      </c>
      <c r="D253" s="105">
        <v>194</v>
      </c>
      <c r="E253" s="413">
        <f>D253/'12 - Equity Statement'!$N$10</f>
        <v>32.052870714580749</v>
      </c>
      <c r="F253" s="92" t="s">
        <v>707</v>
      </c>
      <c r="G253" s="91" t="s">
        <v>132</v>
      </c>
      <c r="H253" s="356" t="s">
        <v>119</v>
      </c>
      <c r="I253" s="268" t="s">
        <v>1109</v>
      </c>
      <c r="J253" s="92" t="s">
        <v>188</v>
      </c>
      <c r="K253" s="355"/>
      <c r="L253" s="416"/>
    </row>
    <row r="254" spans="1:12">
      <c r="A254" s="219">
        <v>3719</v>
      </c>
      <c r="B254" s="106">
        <v>41448</v>
      </c>
      <c r="C254" s="92" t="s">
        <v>708</v>
      </c>
      <c r="D254" s="105">
        <v>1076</v>
      </c>
      <c r="E254" s="413">
        <f>D254/'12 - Equity Statement'!$N$10</f>
        <v>177.77777777777777</v>
      </c>
      <c r="F254" s="92" t="s">
        <v>709</v>
      </c>
      <c r="G254" s="91" t="s">
        <v>132</v>
      </c>
      <c r="H254" s="356" t="s">
        <v>119</v>
      </c>
      <c r="I254" s="91" t="s">
        <v>1110</v>
      </c>
      <c r="J254" s="92" t="s">
        <v>188</v>
      </c>
      <c r="K254" s="355"/>
      <c r="L254" s="416"/>
    </row>
    <row r="255" spans="1:12">
      <c r="A255" s="219">
        <v>3699</v>
      </c>
      <c r="B255" s="106">
        <v>41449</v>
      </c>
      <c r="C255" s="92" t="s">
        <v>710</v>
      </c>
      <c r="D255" s="105">
        <v>553</v>
      </c>
      <c r="E255" s="413">
        <f>D255/'12 - Equity Statement'!$N$10</f>
        <v>91.367203634861625</v>
      </c>
      <c r="F255" s="92" t="s">
        <v>559</v>
      </c>
      <c r="G255" s="91" t="s">
        <v>132</v>
      </c>
      <c r="H255" s="356" t="s">
        <v>119</v>
      </c>
      <c r="I255" s="268" t="s">
        <v>1109</v>
      </c>
      <c r="J255" s="92" t="s">
        <v>188</v>
      </c>
      <c r="K255" s="356"/>
      <c r="L255" s="416"/>
    </row>
    <row r="256" spans="1:12">
      <c r="A256" s="219">
        <v>3714</v>
      </c>
      <c r="B256" s="106">
        <v>41449</v>
      </c>
      <c r="C256" s="92" t="s">
        <v>711</v>
      </c>
      <c r="D256" s="105">
        <v>175</v>
      </c>
      <c r="E256" s="413">
        <f>D256/'12 - Equity Statement'!$N$10</f>
        <v>28.913672036348615</v>
      </c>
      <c r="F256" s="92" t="s">
        <v>643</v>
      </c>
      <c r="G256" s="91" t="s">
        <v>132</v>
      </c>
      <c r="H256" s="355" t="s">
        <v>118</v>
      </c>
      <c r="I256" s="268" t="s">
        <v>1109</v>
      </c>
      <c r="J256" s="92" t="s">
        <v>188</v>
      </c>
      <c r="K256" s="355" t="s">
        <v>26</v>
      </c>
      <c r="L256" s="416"/>
    </row>
    <row r="257" spans="1:12">
      <c r="A257" s="219">
        <v>3713</v>
      </c>
      <c r="B257" s="106">
        <v>41450</v>
      </c>
      <c r="C257" s="92" t="s">
        <v>712</v>
      </c>
      <c r="D257" s="105">
        <v>318</v>
      </c>
      <c r="E257" s="413">
        <f>D257/'12 - Equity Statement'!$N$10</f>
        <v>52.540272614622054</v>
      </c>
      <c r="F257" s="92" t="s">
        <v>643</v>
      </c>
      <c r="G257" s="91" t="s">
        <v>132</v>
      </c>
      <c r="H257" s="355" t="s">
        <v>118</v>
      </c>
      <c r="I257" s="91" t="s">
        <v>1110</v>
      </c>
      <c r="J257" s="92" t="s">
        <v>188</v>
      </c>
      <c r="K257" s="355" t="s">
        <v>26</v>
      </c>
      <c r="L257" s="416"/>
    </row>
    <row r="258" spans="1:12">
      <c r="A258" s="219">
        <v>3715</v>
      </c>
      <c r="B258" s="106">
        <v>41450</v>
      </c>
      <c r="C258" s="92" t="s">
        <v>605</v>
      </c>
      <c r="D258" s="105">
        <v>74</v>
      </c>
      <c r="E258" s="413">
        <f>D258/'12 - Equity Statement'!$N$10</f>
        <v>12.226352746798844</v>
      </c>
      <c r="F258" s="92" t="s">
        <v>179</v>
      </c>
      <c r="G258" s="91" t="s">
        <v>132</v>
      </c>
      <c r="H258" s="355" t="s">
        <v>118</v>
      </c>
      <c r="I258" s="268" t="s">
        <v>1109</v>
      </c>
      <c r="J258" s="92" t="s">
        <v>188</v>
      </c>
      <c r="K258" s="355" t="s">
        <v>23</v>
      </c>
      <c r="L258" s="416"/>
    </row>
    <row r="259" spans="1:12">
      <c r="A259" s="219">
        <v>3693</v>
      </c>
      <c r="B259" s="106">
        <v>41451</v>
      </c>
      <c r="C259" s="92" t="s">
        <v>180</v>
      </c>
      <c r="D259" s="105">
        <v>50</v>
      </c>
      <c r="E259" s="413">
        <f>D259/'12 - Equity Statement'!$N$10</f>
        <v>8.2610491532424621</v>
      </c>
      <c r="F259" s="92" t="s">
        <v>403</v>
      </c>
      <c r="G259" s="91" t="s">
        <v>114</v>
      </c>
      <c r="H259" s="355" t="s">
        <v>1071</v>
      </c>
      <c r="I259" s="91" t="s">
        <v>1110</v>
      </c>
      <c r="J259" s="92" t="s">
        <v>188</v>
      </c>
      <c r="K259" s="356" t="s">
        <v>34</v>
      </c>
      <c r="L259" s="416"/>
    </row>
    <row r="260" spans="1:12">
      <c r="A260" s="219">
        <v>3655</v>
      </c>
      <c r="B260" s="106">
        <v>41453</v>
      </c>
      <c r="C260" s="92" t="s">
        <v>600</v>
      </c>
      <c r="D260" s="105">
        <v>7500</v>
      </c>
      <c r="E260" s="413">
        <f>D260/'12 - Equity Statement'!$N$10</f>
        <v>1239.1573729863692</v>
      </c>
      <c r="F260" s="92" t="s">
        <v>509</v>
      </c>
      <c r="G260" s="91" t="s">
        <v>51</v>
      </c>
      <c r="H260" s="355" t="s">
        <v>1071</v>
      </c>
      <c r="I260" s="91" t="s">
        <v>1109</v>
      </c>
      <c r="J260" s="92" t="s">
        <v>188</v>
      </c>
      <c r="K260" s="355" t="s">
        <v>32</v>
      </c>
      <c r="L260" s="416"/>
    </row>
    <row r="261" spans="1:12">
      <c r="A261" s="219">
        <v>3654</v>
      </c>
      <c r="B261" s="106">
        <v>41453</v>
      </c>
      <c r="C261" s="92" t="s">
        <v>606</v>
      </c>
      <c r="D261" s="105">
        <v>10000</v>
      </c>
      <c r="E261" s="413">
        <f>D261/'12 - Equity Statement'!$N$10</f>
        <v>1652.2098306484922</v>
      </c>
      <c r="F261" s="92" t="s">
        <v>511</v>
      </c>
      <c r="G261" s="91" t="s">
        <v>51</v>
      </c>
      <c r="H261" s="355" t="s">
        <v>118</v>
      </c>
      <c r="I261" s="91" t="s">
        <v>1109</v>
      </c>
      <c r="J261" s="91" t="s">
        <v>175</v>
      </c>
      <c r="K261" s="355" t="s">
        <v>23</v>
      </c>
      <c r="L261" s="416"/>
    </row>
    <row r="262" spans="1:12">
      <c r="A262" s="219">
        <v>3656</v>
      </c>
      <c r="B262" s="106">
        <v>41453</v>
      </c>
      <c r="C262" s="92" t="s">
        <v>506</v>
      </c>
      <c r="D262" s="105">
        <v>4200</v>
      </c>
      <c r="E262" s="413">
        <f>D262/'12 - Equity Statement'!$N$10</f>
        <v>693.92812887236676</v>
      </c>
      <c r="F262" s="92" t="s">
        <v>510</v>
      </c>
      <c r="G262" s="91" t="s">
        <v>52</v>
      </c>
      <c r="H262" s="355" t="s">
        <v>1071</v>
      </c>
      <c r="I262" s="91" t="s">
        <v>1109</v>
      </c>
      <c r="J262" s="92" t="s">
        <v>188</v>
      </c>
      <c r="K262" s="356" t="s">
        <v>34</v>
      </c>
      <c r="L262" s="416"/>
    </row>
    <row r="263" spans="1:12">
      <c r="A263" s="219">
        <v>3663</v>
      </c>
      <c r="B263" s="106">
        <v>41453</v>
      </c>
      <c r="C263" s="92" t="s">
        <v>507</v>
      </c>
      <c r="D263" s="105">
        <v>1137.24</v>
      </c>
      <c r="E263" s="413">
        <f>D263/'12 - Equity Statement'!$N$10</f>
        <v>187.89591078066914</v>
      </c>
      <c r="F263" s="92" t="s">
        <v>409</v>
      </c>
      <c r="G263" s="91" t="s">
        <v>52</v>
      </c>
      <c r="H263" s="356" t="s">
        <v>119</v>
      </c>
      <c r="I263" s="91" t="s">
        <v>1109</v>
      </c>
      <c r="J263" s="92" t="s">
        <v>292</v>
      </c>
      <c r="K263" s="355"/>
      <c r="L263" s="416"/>
    </row>
    <row r="264" spans="1:12">
      <c r="A264" s="219">
        <v>3664</v>
      </c>
      <c r="B264" s="106">
        <v>41453</v>
      </c>
      <c r="C264" s="92" t="s">
        <v>508</v>
      </c>
      <c r="D264" s="105">
        <v>5500</v>
      </c>
      <c r="E264" s="413">
        <f>D264/'12 - Equity Statement'!$N$10</f>
        <v>908.71540685667071</v>
      </c>
      <c r="F264" s="92" t="s">
        <v>509</v>
      </c>
      <c r="G264" s="91" t="s">
        <v>108</v>
      </c>
      <c r="H264" s="355" t="s">
        <v>1071</v>
      </c>
      <c r="I264" s="91" t="s">
        <v>1110</v>
      </c>
      <c r="J264" s="92" t="s">
        <v>188</v>
      </c>
      <c r="K264" s="355" t="s">
        <v>32</v>
      </c>
      <c r="L264" s="416"/>
    </row>
    <row r="265" spans="1:12">
      <c r="A265" s="219">
        <v>3694</v>
      </c>
      <c r="B265" s="106">
        <v>41453</v>
      </c>
      <c r="C265" s="92" t="s">
        <v>1122</v>
      </c>
      <c r="D265" s="105">
        <v>13000</v>
      </c>
      <c r="E265" s="413">
        <f>D265/'12 - Equity Statement'!$N$10</f>
        <v>2147.87277984304</v>
      </c>
      <c r="F265" s="92" t="s">
        <v>304</v>
      </c>
      <c r="G265" s="91" t="s">
        <v>108</v>
      </c>
      <c r="H265" s="355" t="s">
        <v>1071</v>
      </c>
      <c r="I265" s="91" t="s">
        <v>1110</v>
      </c>
      <c r="J265" s="92" t="s">
        <v>188</v>
      </c>
      <c r="K265" s="356" t="s">
        <v>30</v>
      </c>
      <c r="L265" s="416"/>
    </row>
    <row r="266" spans="1:12">
      <c r="A266" s="219">
        <v>3698</v>
      </c>
      <c r="B266" s="106">
        <v>41453</v>
      </c>
      <c r="C266" s="92" t="s">
        <v>1133</v>
      </c>
      <c r="D266" s="105">
        <v>6000</v>
      </c>
      <c r="E266" s="413">
        <f>D266/'12 - Equity Statement'!$N$10</f>
        <v>991.32589838909541</v>
      </c>
      <c r="F266" s="92" t="s">
        <v>404</v>
      </c>
      <c r="G266" s="91" t="s">
        <v>108</v>
      </c>
      <c r="H266" s="355" t="s">
        <v>1071</v>
      </c>
      <c r="I266" s="91" t="s">
        <v>1110</v>
      </c>
      <c r="J266" s="92" t="s">
        <v>188</v>
      </c>
      <c r="K266" s="355" t="s">
        <v>37</v>
      </c>
      <c r="L266" s="416"/>
    </row>
    <row r="267" spans="1:12">
      <c r="A267" s="219">
        <v>3665</v>
      </c>
      <c r="B267" s="106">
        <v>41453</v>
      </c>
      <c r="C267" s="92" t="s">
        <v>604</v>
      </c>
      <c r="D267" s="105">
        <v>3000</v>
      </c>
      <c r="E267" s="413">
        <f>D267/'12 - Equity Statement'!$N$10</f>
        <v>495.66294919454771</v>
      </c>
      <c r="F267" s="92" t="s">
        <v>510</v>
      </c>
      <c r="G267" s="91" t="s">
        <v>108</v>
      </c>
      <c r="H267" s="355" t="s">
        <v>118</v>
      </c>
      <c r="I267" s="91" t="s">
        <v>1110</v>
      </c>
      <c r="J267" s="92" t="s">
        <v>188</v>
      </c>
      <c r="K267" s="355" t="s">
        <v>23</v>
      </c>
      <c r="L267" s="416"/>
    </row>
    <row r="268" spans="1:12">
      <c r="A268" s="219">
        <v>3697</v>
      </c>
      <c r="B268" s="106">
        <v>41453</v>
      </c>
      <c r="C268" s="92" t="s">
        <v>1146</v>
      </c>
      <c r="D268" s="105">
        <v>4500</v>
      </c>
      <c r="E268" s="413">
        <f>D268/'12 - Equity Statement'!$N$10</f>
        <v>743.49442379182153</v>
      </c>
      <c r="F268" s="92" t="s">
        <v>183</v>
      </c>
      <c r="G268" s="92" t="s">
        <v>111</v>
      </c>
      <c r="H268" s="356" t="s">
        <v>119</v>
      </c>
      <c r="I268" s="91" t="s">
        <v>1110</v>
      </c>
      <c r="J268" s="92" t="s">
        <v>101</v>
      </c>
      <c r="K268" s="355"/>
      <c r="L268" s="416"/>
    </row>
    <row r="269" spans="1:12">
      <c r="A269" s="219">
        <v>3696</v>
      </c>
      <c r="B269" s="106">
        <v>41453</v>
      </c>
      <c r="C269" s="92" t="s">
        <v>1156</v>
      </c>
      <c r="D269" s="105">
        <v>4500</v>
      </c>
      <c r="E269" s="413">
        <f>D269/'12 - Equity Statement'!$N$10</f>
        <v>743.49442379182153</v>
      </c>
      <c r="F269" s="92" t="s">
        <v>182</v>
      </c>
      <c r="G269" s="92" t="s">
        <v>111</v>
      </c>
      <c r="H269" s="356" t="s">
        <v>119</v>
      </c>
      <c r="I269" s="91" t="s">
        <v>1110</v>
      </c>
      <c r="J269" s="92" t="s">
        <v>101</v>
      </c>
      <c r="K269" s="355"/>
      <c r="L269" s="416"/>
    </row>
    <row r="270" spans="1:12">
      <c r="A270" s="219">
        <v>3695</v>
      </c>
      <c r="B270" s="106">
        <v>41453</v>
      </c>
      <c r="C270" s="92" t="s">
        <v>1171</v>
      </c>
      <c r="D270" s="105">
        <v>12000</v>
      </c>
      <c r="E270" s="413">
        <f>D270/'12 - Equity Statement'!$N$10</f>
        <v>1982.6517967781908</v>
      </c>
      <c r="F270" s="92" t="s">
        <v>184</v>
      </c>
      <c r="G270" s="92" t="s">
        <v>111</v>
      </c>
      <c r="H270" s="356" t="s">
        <v>119</v>
      </c>
      <c r="I270" s="91" t="s">
        <v>1110</v>
      </c>
      <c r="J270" s="92" t="s">
        <v>101</v>
      </c>
      <c r="K270" s="355"/>
      <c r="L270" s="416"/>
    </row>
    <row r="271" spans="1:12">
      <c r="A271" s="219">
        <v>3716</v>
      </c>
      <c r="B271" s="106">
        <v>41455</v>
      </c>
      <c r="C271" s="92" t="s">
        <v>410</v>
      </c>
      <c r="D271" s="105">
        <v>69</v>
      </c>
      <c r="E271" s="413">
        <f>D271/'12 - Equity Statement'!$N$10</f>
        <v>11.400247831474596</v>
      </c>
      <c r="F271" s="92" t="s">
        <v>179</v>
      </c>
      <c r="G271" s="91" t="s">
        <v>132</v>
      </c>
      <c r="H271" s="355" t="s">
        <v>120</v>
      </c>
      <c r="I271" s="268" t="s">
        <v>1109</v>
      </c>
      <c r="J271" s="92" t="s">
        <v>188</v>
      </c>
      <c r="K271" s="355"/>
      <c r="L271" s="416"/>
    </row>
    <row r="272" spans="1:12" ht="15">
      <c r="A272" s="220">
        <v>3732</v>
      </c>
      <c r="B272" s="104">
        <v>41457</v>
      </c>
      <c r="C272" s="91" t="s">
        <v>296</v>
      </c>
      <c r="D272" s="423"/>
      <c r="E272" s="413">
        <v>200</v>
      </c>
      <c r="F272" s="91" t="s">
        <v>185</v>
      </c>
      <c r="G272" s="91" t="s">
        <v>113</v>
      </c>
      <c r="H272" s="408" t="s">
        <v>123</v>
      </c>
      <c r="I272" s="91" t="s">
        <v>1110</v>
      </c>
      <c r="J272" s="91" t="s">
        <v>290</v>
      </c>
      <c r="K272" s="355"/>
      <c r="L272" s="416"/>
    </row>
    <row r="273" spans="1:12" ht="15">
      <c r="A273" s="220">
        <v>3729</v>
      </c>
      <c r="B273" s="104">
        <v>41458</v>
      </c>
      <c r="C273" s="91" t="s">
        <v>297</v>
      </c>
      <c r="D273" s="423"/>
      <c r="E273" s="413">
        <v>385.12</v>
      </c>
      <c r="F273" s="91" t="s">
        <v>1098</v>
      </c>
      <c r="G273" s="91" t="s">
        <v>132</v>
      </c>
      <c r="H273" s="355" t="s">
        <v>120</v>
      </c>
      <c r="I273" s="91" t="s">
        <v>1110</v>
      </c>
      <c r="J273" s="91" t="s">
        <v>102</v>
      </c>
      <c r="K273" s="355"/>
      <c r="L273" s="416"/>
    </row>
    <row r="274" spans="1:12">
      <c r="A274" s="220">
        <v>3752</v>
      </c>
      <c r="B274" s="104">
        <v>41458</v>
      </c>
      <c r="C274" s="91" t="s">
        <v>298</v>
      </c>
      <c r="D274" s="105">
        <v>53</v>
      </c>
      <c r="E274" s="413">
        <f t="shared" ref="E274:E303" si="0">D274/6.0506</f>
        <v>8.7594618715499291</v>
      </c>
      <c r="F274" s="91" t="s">
        <v>179</v>
      </c>
      <c r="G274" s="91" t="s">
        <v>132</v>
      </c>
      <c r="H274" s="355" t="s">
        <v>1071</v>
      </c>
      <c r="I274" s="268" t="s">
        <v>1109</v>
      </c>
      <c r="J274" s="91" t="s">
        <v>291</v>
      </c>
      <c r="K274" s="355" t="s">
        <v>34</v>
      </c>
      <c r="L274" s="416"/>
    </row>
    <row r="275" spans="1:12">
      <c r="A275" s="220">
        <v>3720</v>
      </c>
      <c r="B275" s="104">
        <v>41459</v>
      </c>
      <c r="C275" s="91" t="s">
        <v>299</v>
      </c>
      <c r="D275" s="105">
        <v>955.68</v>
      </c>
      <c r="E275" s="413">
        <f t="shared" si="0"/>
        <v>157.94797210194028</v>
      </c>
      <c r="F275" s="91" t="s">
        <v>303</v>
      </c>
      <c r="G275" s="91" t="s">
        <v>116</v>
      </c>
      <c r="H275" s="356" t="s">
        <v>119</v>
      </c>
      <c r="I275" s="91" t="s">
        <v>1109</v>
      </c>
      <c r="J275" s="91" t="s">
        <v>292</v>
      </c>
      <c r="K275" s="355"/>
      <c r="L275" s="416"/>
    </row>
    <row r="276" spans="1:12">
      <c r="A276" s="220">
        <v>3751</v>
      </c>
      <c r="B276" s="104">
        <v>41459</v>
      </c>
      <c r="C276" s="91" t="s">
        <v>513</v>
      </c>
      <c r="D276" s="105">
        <v>50</v>
      </c>
      <c r="E276" s="413">
        <f t="shared" si="0"/>
        <v>8.2636432750471016</v>
      </c>
      <c r="F276" s="91" t="s">
        <v>403</v>
      </c>
      <c r="G276" s="91" t="s">
        <v>114</v>
      </c>
      <c r="H276" s="355" t="s">
        <v>1071</v>
      </c>
      <c r="I276" s="91" t="s">
        <v>1110</v>
      </c>
      <c r="J276" s="91" t="s">
        <v>291</v>
      </c>
      <c r="K276" s="356" t="s">
        <v>34</v>
      </c>
      <c r="L276" s="416"/>
    </row>
    <row r="277" spans="1:12">
      <c r="A277" s="220">
        <v>3762</v>
      </c>
      <c r="B277" s="104">
        <v>41459</v>
      </c>
      <c r="C277" s="91" t="s">
        <v>240</v>
      </c>
      <c r="D277" s="105">
        <v>78</v>
      </c>
      <c r="E277" s="413">
        <f t="shared" si="0"/>
        <v>12.89128350907348</v>
      </c>
      <c r="F277" s="91" t="s">
        <v>179</v>
      </c>
      <c r="G277" s="91" t="s">
        <v>132</v>
      </c>
      <c r="H277" s="355" t="s">
        <v>120</v>
      </c>
      <c r="I277" s="268" t="s">
        <v>1109</v>
      </c>
      <c r="J277" s="123" t="s">
        <v>188</v>
      </c>
      <c r="K277" s="355"/>
      <c r="L277" s="416"/>
    </row>
    <row r="278" spans="1:12">
      <c r="A278" s="220">
        <v>3721</v>
      </c>
      <c r="B278" s="104">
        <v>41460</v>
      </c>
      <c r="C278" s="91" t="s">
        <v>271</v>
      </c>
      <c r="D278" s="105">
        <v>2096.4299999999998</v>
      </c>
      <c r="E278" s="413">
        <f t="shared" si="0"/>
        <v>346.48299342213994</v>
      </c>
      <c r="F278" s="91" t="s">
        <v>409</v>
      </c>
      <c r="G278" s="91" t="s">
        <v>52</v>
      </c>
      <c r="H278" s="356" t="s">
        <v>119</v>
      </c>
      <c r="I278" s="91" t="s">
        <v>1109</v>
      </c>
      <c r="J278" s="91" t="s">
        <v>292</v>
      </c>
      <c r="K278" s="355"/>
      <c r="L278" s="416"/>
    </row>
    <row r="279" spans="1:12">
      <c r="A279" s="220">
        <v>3759</v>
      </c>
      <c r="B279" s="104">
        <v>41460</v>
      </c>
      <c r="C279" s="91" t="s">
        <v>394</v>
      </c>
      <c r="D279" s="105">
        <v>72.150000000000006</v>
      </c>
      <c r="E279" s="413">
        <f t="shared" si="0"/>
        <v>11.924437245892969</v>
      </c>
      <c r="F279" s="91" t="s">
        <v>403</v>
      </c>
      <c r="G279" s="91" t="s">
        <v>114</v>
      </c>
      <c r="H279" s="355" t="s">
        <v>120</v>
      </c>
      <c r="I279" s="268" t="s">
        <v>1109</v>
      </c>
      <c r="J279" s="91" t="s">
        <v>101</v>
      </c>
      <c r="K279" s="355"/>
      <c r="L279" s="416"/>
    </row>
    <row r="280" spans="1:12">
      <c r="A280" s="220">
        <v>3750</v>
      </c>
      <c r="B280" s="104">
        <v>41460</v>
      </c>
      <c r="C280" s="91" t="s">
        <v>393</v>
      </c>
      <c r="D280" s="105">
        <v>104</v>
      </c>
      <c r="E280" s="413">
        <f t="shared" si="0"/>
        <v>17.188378012097974</v>
      </c>
      <c r="F280" s="91" t="s">
        <v>179</v>
      </c>
      <c r="G280" s="91" t="s">
        <v>132</v>
      </c>
      <c r="H280" s="355" t="s">
        <v>1071</v>
      </c>
      <c r="I280" s="268" t="s">
        <v>1109</v>
      </c>
      <c r="J280" s="91" t="s">
        <v>291</v>
      </c>
      <c r="K280" s="355" t="s">
        <v>34</v>
      </c>
      <c r="L280" s="416"/>
    </row>
    <row r="281" spans="1:12">
      <c r="A281" s="220">
        <v>3765</v>
      </c>
      <c r="B281" s="104">
        <v>41460</v>
      </c>
      <c r="C281" s="91" t="s">
        <v>243</v>
      </c>
      <c r="D281" s="105">
        <v>44</v>
      </c>
      <c r="E281" s="413">
        <f t="shared" si="0"/>
        <v>7.2720060820414503</v>
      </c>
      <c r="F281" s="91" t="s">
        <v>179</v>
      </c>
      <c r="G281" s="91" t="s">
        <v>132</v>
      </c>
      <c r="H281" s="355" t="s">
        <v>120</v>
      </c>
      <c r="I281" s="268" t="s">
        <v>1109</v>
      </c>
      <c r="J281" s="123" t="s">
        <v>188</v>
      </c>
      <c r="K281" s="355"/>
      <c r="L281" s="416"/>
    </row>
    <row r="282" spans="1:12">
      <c r="A282" s="220">
        <v>3749</v>
      </c>
      <c r="B282" s="104">
        <v>41460</v>
      </c>
      <c r="C282" s="91" t="s">
        <v>273</v>
      </c>
      <c r="D282" s="105">
        <v>2586.8000000000002</v>
      </c>
      <c r="E282" s="413">
        <f t="shared" si="0"/>
        <v>427.52784847783693</v>
      </c>
      <c r="F282" s="91" t="s">
        <v>403</v>
      </c>
      <c r="G282" s="91" t="s">
        <v>106</v>
      </c>
      <c r="H282" s="355" t="s">
        <v>1071</v>
      </c>
      <c r="I282" s="91" t="s">
        <v>1110</v>
      </c>
      <c r="J282" s="91" t="s">
        <v>291</v>
      </c>
      <c r="K282" s="355" t="s">
        <v>34</v>
      </c>
      <c r="L282" s="416"/>
    </row>
    <row r="283" spans="1:12">
      <c r="A283" s="220">
        <v>3748</v>
      </c>
      <c r="B283" s="104">
        <v>41460</v>
      </c>
      <c r="C283" s="91" t="s">
        <v>272</v>
      </c>
      <c r="D283" s="105">
        <v>290</v>
      </c>
      <c r="E283" s="413">
        <f t="shared" si="0"/>
        <v>47.929130995273198</v>
      </c>
      <c r="F283" s="91" t="s">
        <v>264</v>
      </c>
      <c r="G283" s="91" t="s">
        <v>106</v>
      </c>
      <c r="H283" s="355" t="s">
        <v>1071</v>
      </c>
      <c r="I283" s="268" t="s">
        <v>1109</v>
      </c>
      <c r="J283" s="91" t="s">
        <v>291</v>
      </c>
      <c r="K283" s="355" t="s">
        <v>34</v>
      </c>
      <c r="L283" s="416"/>
    </row>
    <row r="284" spans="1:12">
      <c r="A284" s="220">
        <v>3733</v>
      </c>
      <c r="B284" s="104">
        <v>41461</v>
      </c>
      <c r="C284" s="91" t="s">
        <v>395</v>
      </c>
      <c r="D284" s="105">
        <v>100</v>
      </c>
      <c r="E284" s="413">
        <f t="shared" si="0"/>
        <v>16.527286550094203</v>
      </c>
      <c r="F284" s="91" t="s">
        <v>403</v>
      </c>
      <c r="G284" s="91" t="s">
        <v>114</v>
      </c>
      <c r="H284" s="355" t="s">
        <v>1071</v>
      </c>
      <c r="I284" s="91" t="s">
        <v>1110</v>
      </c>
      <c r="J284" s="91" t="s">
        <v>291</v>
      </c>
      <c r="K284" s="356" t="s">
        <v>34</v>
      </c>
      <c r="L284" s="416"/>
    </row>
    <row r="285" spans="1:12">
      <c r="A285" s="220">
        <v>3734</v>
      </c>
      <c r="B285" s="104">
        <v>41463</v>
      </c>
      <c r="C285" s="91" t="s">
        <v>396</v>
      </c>
      <c r="D285" s="105">
        <v>81</v>
      </c>
      <c r="E285" s="413">
        <f t="shared" si="0"/>
        <v>13.387102105576306</v>
      </c>
      <c r="F285" s="91" t="s">
        <v>264</v>
      </c>
      <c r="G285" s="91" t="s">
        <v>114</v>
      </c>
      <c r="H285" s="355" t="s">
        <v>1071</v>
      </c>
      <c r="I285" s="268" t="s">
        <v>1109</v>
      </c>
      <c r="J285" s="91" t="s">
        <v>101</v>
      </c>
      <c r="K285" s="356" t="s">
        <v>29</v>
      </c>
      <c r="L285" s="416"/>
    </row>
    <row r="286" spans="1:12">
      <c r="A286" s="220">
        <v>3763</v>
      </c>
      <c r="B286" s="104">
        <v>41464</v>
      </c>
      <c r="C286" s="91" t="s">
        <v>241</v>
      </c>
      <c r="D286" s="105">
        <v>29</v>
      </c>
      <c r="E286" s="413">
        <f t="shared" si="0"/>
        <v>4.7929130995273193</v>
      </c>
      <c r="F286" s="91" t="s">
        <v>179</v>
      </c>
      <c r="G286" s="91" t="s">
        <v>132</v>
      </c>
      <c r="H286" s="355" t="s">
        <v>1071</v>
      </c>
      <c r="I286" s="268" t="s">
        <v>1109</v>
      </c>
      <c r="J286" s="123" t="s">
        <v>188</v>
      </c>
      <c r="K286" s="355" t="s">
        <v>29</v>
      </c>
      <c r="L286" s="416"/>
    </row>
    <row r="287" spans="1:12">
      <c r="A287" s="220">
        <v>3747</v>
      </c>
      <c r="B287" s="104">
        <v>41465</v>
      </c>
      <c r="C287" s="91" t="s">
        <v>397</v>
      </c>
      <c r="D287" s="105">
        <v>36</v>
      </c>
      <c r="E287" s="413">
        <f t="shared" si="0"/>
        <v>5.9498231580339134</v>
      </c>
      <c r="F287" s="91" t="s">
        <v>398</v>
      </c>
      <c r="G287" s="91" t="s">
        <v>114</v>
      </c>
      <c r="H287" s="355" t="s">
        <v>1071</v>
      </c>
      <c r="I287" s="268" t="s">
        <v>1109</v>
      </c>
      <c r="J287" s="91" t="s">
        <v>291</v>
      </c>
      <c r="K287" s="356" t="s">
        <v>29</v>
      </c>
      <c r="L287" s="416"/>
    </row>
    <row r="288" spans="1:12">
      <c r="A288" s="220">
        <v>3722</v>
      </c>
      <c r="B288" s="104">
        <v>41465</v>
      </c>
      <c r="C288" s="91" t="s">
        <v>186</v>
      </c>
      <c r="D288" s="105">
        <v>177.31</v>
      </c>
      <c r="E288" s="413">
        <f t="shared" si="0"/>
        <v>29.304531781972035</v>
      </c>
      <c r="F288" s="91" t="s">
        <v>302</v>
      </c>
      <c r="G288" s="91" t="s">
        <v>114</v>
      </c>
      <c r="H288" s="355" t="s">
        <v>1071</v>
      </c>
      <c r="I288" s="91" t="s">
        <v>1109</v>
      </c>
      <c r="J288" s="91" t="s">
        <v>292</v>
      </c>
      <c r="K288" s="356" t="s">
        <v>29</v>
      </c>
      <c r="L288" s="416"/>
    </row>
    <row r="289" spans="1:12">
      <c r="A289" s="220">
        <v>3723</v>
      </c>
      <c r="B289" s="104">
        <v>41466</v>
      </c>
      <c r="C289" s="91" t="s">
        <v>558</v>
      </c>
      <c r="D289" s="105">
        <v>400.74</v>
      </c>
      <c r="E289" s="413">
        <f t="shared" si="0"/>
        <v>66.231448120847517</v>
      </c>
      <c r="F289" s="91" t="s">
        <v>181</v>
      </c>
      <c r="G289" s="91" t="s">
        <v>114</v>
      </c>
      <c r="H289" s="355" t="s">
        <v>118</v>
      </c>
      <c r="I289" s="91" t="s">
        <v>1109</v>
      </c>
      <c r="J289" s="91" t="s">
        <v>292</v>
      </c>
      <c r="K289" s="355" t="s">
        <v>23</v>
      </c>
      <c r="L289" s="416"/>
    </row>
    <row r="290" spans="1:12">
      <c r="A290" s="220">
        <v>3744</v>
      </c>
      <c r="B290" s="104">
        <v>41466</v>
      </c>
      <c r="C290" s="91" t="s">
        <v>180</v>
      </c>
      <c r="D290" s="105">
        <v>50</v>
      </c>
      <c r="E290" s="413">
        <f t="shared" si="0"/>
        <v>8.2636432750471016</v>
      </c>
      <c r="F290" s="91" t="s">
        <v>403</v>
      </c>
      <c r="G290" s="91" t="s">
        <v>114</v>
      </c>
      <c r="H290" s="355" t="s">
        <v>1071</v>
      </c>
      <c r="I290" s="91" t="s">
        <v>1110</v>
      </c>
      <c r="J290" s="91" t="s">
        <v>291</v>
      </c>
      <c r="K290" s="356" t="s">
        <v>34</v>
      </c>
      <c r="L290" s="416"/>
    </row>
    <row r="291" spans="1:12">
      <c r="A291" s="220">
        <v>3764</v>
      </c>
      <c r="B291" s="104">
        <v>41469</v>
      </c>
      <c r="C291" s="91" t="s">
        <v>242</v>
      </c>
      <c r="D291" s="105">
        <v>28</v>
      </c>
      <c r="E291" s="413">
        <f t="shared" si="0"/>
        <v>4.6276402340263774</v>
      </c>
      <c r="F291" s="91" t="s">
        <v>179</v>
      </c>
      <c r="G291" s="91" t="s">
        <v>132</v>
      </c>
      <c r="H291" s="355" t="s">
        <v>120</v>
      </c>
      <c r="I291" s="268" t="s">
        <v>1109</v>
      </c>
      <c r="J291" s="123" t="s">
        <v>188</v>
      </c>
      <c r="K291" s="355"/>
      <c r="L291" s="416"/>
    </row>
    <row r="292" spans="1:12">
      <c r="A292" s="220">
        <v>3745</v>
      </c>
      <c r="B292" s="104">
        <v>41471</v>
      </c>
      <c r="C292" s="91" t="s">
        <v>295</v>
      </c>
      <c r="D292" s="105">
        <v>440</v>
      </c>
      <c r="E292" s="413">
        <f t="shared" si="0"/>
        <v>72.720060820414503</v>
      </c>
      <c r="F292" s="91" t="s">
        <v>403</v>
      </c>
      <c r="G292" s="91" t="s">
        <v>114</v>
      </c>
      <c r="H292" s="355" t="s">
        <v>1071</v>
      </c>
      <c r="I292" s="91" t="s">
        <v>1110</v>
      </c>
      <c r="J292" s="91" t="s">
        <v>291</v>
      </c>
      <c r="K292" s="356" t="s">
        <v>29</v>
      </c>
      <c r="L292" s="416"/>
    </row>
    <row r="293" spans="1:12">
      <c r="A293" s="220">
        <v>3731</v>
      </c>
      <c r="B293" s="104">
        <v>41471</v>
      </c>
      <c r="C293" s="91" t="s">
        <v>293</v>
      </c>
      <c r="D293" s="105">
        <v>80</v>
      </c>
      <c r="E293" s="413">
        <f t="shared" si="0"/>
        <v>13.221829240075364</v>
      </c>
      <c r="F293" s="91" t="s">
        <v>510</v>
      </c>
      <c r="G293" s="91" t="s">
        <v>132</v>
      </c>
      <c r="H293" s="355" t="s">
        <v>1071</v>
      </c>
      <c r="I293" s="91" t="s">
        <v>1110</v>
      </c>
      <c r="J293" s="91" t="s">
        <v>291</v>
      </c>
      <c r="K293" s="356" t="s">
        <v>29</v>
      </c>
      <c r="L293" s="416"/>
    </row>
    <row r="294" spans="1:12">
      <c r="A294" s="220">
        <v>3766</v>
      </c>
      <c r="B294" s="104">
        <v>41471</v>
      </c>
      <c r="C294" s="91" t="s">
        <v>325</v>
      </c>
      <c r="D294" s="105">
        <v>62</v>
      </c>
      <c r="E294" s="413">
        <f t="shared" si="0"/>
        <v>10.246917661058408</v>
      </c>
      <c r="F294" s="91" t="s">
        <v>179</v>
      </c>
      <c r="G294" s="91" t="s">
        <v>132</v>
      </c>
      <c r="H294" s="355" t="s">
        <v>120</v>
      </c>
      <c r="I294" s="268" t="s">
        <v>1109</v>
      </c>
      <c r="J294" s="123" t="s">
        <v>188</v>
      </c>
      <c r="K294" s="355"/>
      <c r="L294" s="416"/>
    </row>
    <row r="295" spans="1:12">
      <c r="A295" s="220">
        <v>3743</v>
      </c>
      <c r="B295" s="104">
        <v>41471</v>
      </c>
      <c r="C295" s="91" t="s">
        <v>294</v>
      </c>
      <c r="D295" s="105">
        <v>41</v>
      </c>
      <c r="E295" s="413">
        <f t="shared" si="0"/>
        <v>6.7761874855386237</v>
      </c>
      <c r="F295" s="91" t="s">
        <v>179</v>
      </c>
      <c r="G295" s="91" t="s">
        <v>132</v>
      </c>
      <c r="H295" s="355" t="s">
        <v>120</v>
      </c>
      <c r="I295" s="268" t="s">
        <v>1109</v>
      </c>
      <c r="J295" s="91" t="s">
        <v>291</v>
      </c>
      <c r="K295" s="355"/>
      <c r="L295" s="416"/>
    </row>
    <row r="296" spans="1:12">
      <c r="A296" s="220">
        <v>3746</v>
      </c>
      <c r="B296" s="104">
        <v>41471</v>
      </c>
      <c r="C296" s="91" t="s">
        <v>405</v>
      </c>
      <c r="D296" s="105">
        <v>55</v>
      </c>
      <c r="E296" s="413">
        <f t="shared" si="0"/>
        <v>9.0900076025518128</v>
      </c>
      <c r="F296" s="91" t="s">
        <v>403</v>
      </c>
      <c r="G296" s="91" t="s">
        <v>106</v>
      </c>
      <c r="H296" s="355" t="s">
        <v>120</v>
      </c>
      <c r="I296" s="91"/>
      <c r="J296" s="91" t="s">
        <v>291</v>
      </c>
      <c r="K296" s="355"/>
      <c r="L296" s="416"/>
    </row>
    <row r="297" spans="1:12">
      <c r="A297" s="220">
        <v>3767</v>
      </c>
      <c r="B297" s="104">
        <v>41477</v>
      </c>
      <c r="C297" s="91" t="s">
        <v>326</v>
      </c>
      <c r="D297" s="105">
        <v>34</v>
      </c>
      <c r="E297" s="413">
        <f t="shared" si="0"/>
        <v>5.6192774270320296</v>
      </c>
      <c r="F297" s="91" t="s">
        <v>179</v>
      </c>
      <c r="G297" s="91" t="s">
        <v>132</v>
      </c>
      <c r="H297" s="355" t="s">
        <v>1071</v>
      </c>
      <c r="I297" s="268" t="s">
        <v>1109</v>
      </c>
      <c r="J297" s="123" t="s">
        <v>188</v>
      </c>
      <c r="K297" s="355" t="s">
        <v>29</v>
      </c>
      <c r="L297" s="416"/>
    </row>
    <row r="298" spans="1:12">
      <c r="A298" s="220">
        <v>3736</v>
      </c>
      <c r="B298" s="104">
        <v>41478</v>
      </c>
      <c r="C298" s="91" t="s">
        <v>407</v>
      </c>
      <c r="D298" s="105">
        <v>100</v>
      </c>
      <c r="E298" s="413">
        <f t="shared" si="0"/>
        <v>16.527286550094203</v>
      </c>
      <c r="F298" s="91" t="s">
        <v>403</v>
      </c>
      <c r="G298" s="91" t="s">
        <v>106</v>
      </c>
      <c r="H298" s="355" t="s">
        <v>1071</v>
      </c>
      <c r="I298" s="91" t="s">
        <v>1110</v>
      </c>
      <c r="J298" s="91" t="s">
        <v>291</v>
      </c>
      <c r="K298" s="355" t="s">
        <v>34</v>
      </c>
      <c r="L298" s="416"/>
    </row>
    <row r="299" spans="1:12">
      <c r="A299" s="220">
        <v>3735</v>
      </c>
      <c r="B299" s="104">
        <v>41478</v>
      </c>
      <c r="C299" s="91" t="s">
        <v>406</v>
      </c>
      <c r="D299" s="105">
        <v>297</v>
      </c>
      <c r="E299" s="413">
        <f t="shared" si="0"/>
        <v>49.086041053779788</v>
      </c>
      <c r="F299" s="91" t="s">
        <v>403</v>
      </c>
      <c r="G299" s="91" t="s">
        <v>106</v>
      </c>
      <c r="H299" s="355" t="s">
        <v>1071</v>
      </c>
      <c r="I299" s="91" t="s">
        <v>1110</v>
      </c>
      <c r="J299" s="91" t="s">
        <v>291</v>
      </c>
      <c r="K299" s="355" t="s">
        <v>34</v>
      </c>
      <c r="L299" s="416"/>
    </row>
    <row r="300" spans="1:12">
      <c r="A300" s="220">
        <v>3742</v>
      </c>
      <c r="B300" s="104">
        <v>41479</v>
      </c>
      <c r="C300" s="91" t="s">
        <v>733</v>
      </c>
      <c r="D300" s="105">
        <v>22</v>
      </c>
      <c r="E300" s="413">
        <f t="shared" si="0"/>
        <v>3.6360030410207251</v>
      </c>
      <c r="F300" s="91" t="s">
        <v>398</v>
      </c>
      <c r="G300" s="91" t="s">
        <v>114</v>
      </c>
      <c r="H300" s="355" t="s">
        <v>1071</v>
      </c>
      <c r="I300" s="268" t="s">
        <v>1109</v>
      </c>
      <c r="J300" s="91" t="s">
        <v>291</v>
      </c>
      <c r="K300" s="356" t="s">
        <v>29</v>
      </c>
      <c r="L300" s="416"/>
    </row>
    <row r="301" spans="1:12">
      <c r="A301" s="220">
        <v>3738</v>
      </c>
      <c r="B301" s="104">
        <v>41479</v>
      </c>
      <c r="C301" s="91" t="s">
        <v>300</v>
      </c>
      <c r="D301" s="105">
        <v>49.8</v>
      </c>
      <c r="E301" s="413">
        <f t="shared" si="0"/>
        <v>8.2305887019469139</v>
      </c>
      <c r="F301" s="91" t="s">
        <v>403</v>
      </c>
      <c r="G301" s="91" t="s">
        <v>106</v>
      </c>
      <c r="H301" s="355" t="s">
        <v>1071</v>
      </c>
      <c r="I301" s="91" t="s">
        <v>1110</v>
      </c>
      <c r="J301" s="91" t="s">
        <v>291</v>
      </c>
      <c r="K301" s="355" t="s">
        <v>34</v>
      </c>
      <c r="L301" s="416"/>
    </row>
    <row r="302" spans="1:12">
      <c r="A302" s="220">
        <v>3739</v>
      </c>
      <c r="B302" s="104">
        <v>41479</v>
      </c>
      <c r="C302" s="91" t="s">
        <v>221</v>
      </c>
      <c r="D302" s="105">
        <v>20</v>
      </c>
      <c r="E302" s="413">
        <f t="shared" si="0"/>
        <v>3.3054573100188409</v>
      </c>
      <c r="F302" s="91" t="s">
        <v>403</v>
      </c>
      <c r="G302" s="91" t="s">
        <v>106</v>
      </c>
      <c r="H302" s="355" t="s">
        <v>1071</v>
      </c>
      <c r="I302" s="268" t="s">
        <v>1109</v>
      </c>
      <c r="J302" s="91" t="s">
        <v>291</v>
      </c>
      <c r="K302" s="355" t="s">
        <v>34</v>
      </c>
      <c r="L302" s="416"/>
    </row>
    <row r="303" spans="1:12">
      <c r="A303" s="220">
        <v>3737</v>
      </c>
      <c r="B303" s="104">
        <v>41479</v>
      </c>
      <c r="C303" s="91" t="s">
        <v>408</v>
      </c>
      <c r="D303" s="105">
        <v>80</v>
      </c>
      <c r="E303" s="413">
        <f t="shared" si="0"/>
        <v>13.221829240075364</v>
      </c>
      <c r="F303" s="91" t="s">
        <v>403</v>
      </c>
      <c r="G303" s="91" t="s">
        <v>106</v>
      </c>
      <c r="H303" s="355" t="s">
        <v>1071</v>
      </c>
      <c r="I303" s="91" t="s">
        <v>1110</v>
      </c>
      <c r="J303" s="91" t="s">
        <v>291</v>
      </c>
      <c r="K303" s="355" t="s">
        <v>34</v>
      </c>
      <c r="L303" s="416"/>
    </row>
    <row r="304" spans="1:12" ht="15">
      <c r="A304" s="220">
        <v>3760</v>
      </c>
      <c r="B304" s="104">
        <v>41480</v>
      </c>
      <c r="C304" s="91" t="s">
        <v>210</v>
      </c>
      <c r="D304" s="423"/>
      <c r="E304" s="413">
        <v>3845</v>
      </c>
      <c r="F304" s="91" t="s">
        <v>222</v>
      </c>
      <c r="G304" s="91" t="s">
        <v>110</v>
      </c>
      <c r="H304" s="408" t="s">
        <v>122</v>
      </c>
      <c r="I304" s="91" t="s">
        <v>1110</v>
      </c>
      <c r="J304" s="91" t="s">
        <v>102</v>
      </c>
      <c r="K304" s="356"/>
      <c r="L304" s="416"/>
    </row>
    <row r="305" spans="1:12">
      <c r="A305" s="220">
        <v>3740</v>
      </c>
      <c r="B305" s="104">
        <v>41480</v>
      </c>
      <c r="C305" s="91" t="s">
        <v>180</v>
      </c>
      <c r="D305" s="105">
        <v>50</v>
      </c>
      <c r="E305" s="413">
        <f>D305/6.0506</f>
        <v>8.2636432750471016</v>
      </c>
      <c r="F305" s="91" t="s">
        <v>403</v>
      </c>
      <c r="G305" s="91" t="s">
        <v>114</v>
      </c>
      <c r="H305" s="355" t="s">
        <v>1071</v>
      </c>
      <c r="I305" s="91" t="s">
        <v>1110</v>
      </c>
      <c r="J305" s="91" t="s">
        <v>291</v>
      </c>
      <c r="K305" s="356" t="s">
        <v>34</v>
      </c>
      <c r="L305" s="416"/>
    </row>
    <row r="306" spans="1:12">
      <c r="A306" s="219">
        <v>3770</v>
      </c>
      <c r="B306" s="106">
        <v>41480</v>
      </c>
      <c r="C306" s="92" t="s">
        <v>690</v>
      </c>
      <c r="D306" s="105"/>
      <c r="E306" s="413">
        <v>2845.47</v>
      </c>
      <c r="F306" s="92" t="s">
        <v>691</v>
      </c>
      <c r="G306" s="92" t="s">
        <v>112</v>
      </c>
      <c r="H306" s="355" t="s">
        <v>1071</v>
      </c>
      <c r="I306" s="91" t="s">
        <v>1110</v>
      </c>
      <c r="J306" s="92" t="s">
        <v>102</v>
      </c>
      <c r="K306" s="355" t="s">
        <v>29</v>
      </c>
      <c r="L306" s="416"/>
    </row>
    <row r="307" spans="1:12">
      <c r="A307" s="220">
        <v>3724</v>
      </c>
      <c r="B307" s="104">
        <v>41481</v>
      </c>
      <c r="C307" s="91" t="s">
        <v>223</v>
      </c>
      <c r="D307" s="105">
        <v>480</v>
      </c>
      <c r="E307" s="413">
        <f t="shared" ref="E307:E321" si="1">D307/6.0506</f>
        <v>79.330975440452178</v>
      </c>
      <c r="F307" s="91" t="s">
        <v>270</v>
      </c>
      <c r="G307" s="91" t="s">
        <v>52</v>
      </c>
      <c r="H307" s="355" t="s">
        <v>118</v>
      </c>
      <c r="I307" s="91" t="s">
        <v>1109</v>
      </c>
      <c r="J307" s="91" t="s">
        <v>292</v>
      </c>
      <c r="K307" s="355" t="s">
        <v>24</v>
      </c>
      <c r="L307" s="416"/>
    </row>
    <row r="308" spans="1:12">
      <c r="A308" s="220">
        <v>3725</v>
      </c>
      <c r="B308" s="104">
        <v>41481</v>
      </c>
      <c r="C308" s="91" t="s">
        <v>224</v>
      </c>
      <c r="D308" s="105">
        <v>480</v>
      </c>
      <c r="E308" s="413">
        <f t="shared" si="1"/>
        <v>79.330975440452178</v>
      </c>
      <c r="F308" s="91" t="s">
        <v>270</v>
      </c>
      <c r="G308" s="91" t="s">
        <v>52</v>
      </c>
      <c r="H308" s="355" t="s">
        <v>1071</v>
      </c>
      <c r="I308" s="91" t="s">
        <v>1109</v>
      </c>
      <c r="J308" s="91" t="s">
        <v>292</v>
      </c>
      <c r="K308" s="356" t="s">
        <v>29</v>
      </c>
      <c r="L308" s="416"/>
    </row>
    <row r="309" spans="1:12">
      <c r="A309" s="220">
        <v>3768</v>
      </c>
      <c r="B309" s="104">
        <v>41485</v>
      </c>
      <c r="C309" s="91" t="s">
        <v>327</v>
      </c>
      <c r="D309" s="105">
        <v>39</v>
      </c>
      <c r="E309" s="413">
        <f t="shared" si="1"/>
        <v>6.4456417545367399</v>
      </c>
      <c r="F309" s="91" t="s">
        <v>179</v>
      </c>
      <c r="G309" s="91" t="s">
        <v>132</v>
      </c>
      <c r="H309" s="355" t="s">
        <v>120</v>
      </c>
      <c r="I309" s="268" t="s">
        <v>1109</v>
      </c>
      <c r="J309" s="123" t="s">
        <v>188</v>
      </c>
      <c r="K309" s="355"/>
      <c r="L309" s="416"/>
    </row>
    <row r="310" spans="1:12">
      <c r="A310" s="220">
        <v>3728</v>
      </c>
      <c r="B310" s="104">
        <v>41486</v>
      </c>
      <c r="C310" s="91" t="s">
        <v>236</v>
      </c>
      <c r="D310" s="105">
        <v>7500</v>
      </c>
      <c r="E310" s="413">
        <f t="shared" si="1"/>
        <v>1239.5464912570653</v>
      </c>
      <c r="F310" s="91" t="s">
        <v>509</v>
      </c>
      <c r="G310" s="91" t="s">
        <v>51</v>
      </c>
      <c r="H310" s="356" t="s">
        <v>119</v>
      </c>
      <c r="I310" s="91" t="s">
        <v>1109</v>
      </c>
      <c r="J310" s="91" t="s">
        <v>291</v>
      </c>
      <c r="K310" s="355"/>
      <c r="L310" s="416"/>
    </row>
    <row r="311" spans="1:12">
      <c r="A311" s="220">
        <v>3726</v>
      </c>
      <c r="B311" s="104">
        <v>41486</v>
      </c>
      <c r="C311" s="91" t="s">
        <v>225</v>
      </c>
      <c r="D311" s="105">
        <v>10000</v>
      </c>
      <c r="E311" s="413">
        <f t="shared" si="1"/>
        <v>1652.7286550094204</v>
      </c>
      <c r="F311" s="92" t="s">
        <v>511</v>
      </c>
      <c r="G311" s="91" t="s">
        <v>51</v>
      </c>
      <c r="H311" s="355" t="s">
        <v>118</v>
      </c>
      <c r="I311" s="91" t="s">
        <v>1109</v>
      </c>
      <c r="J311" s="91" t="s">
        <v>175</v>
      </c>
      <c r="K311" s="355" t="s">
        <v>23</v>
      </c>
      <c r="L311" s="416"/>
    </row>
    <row r="312" spans="1:12">
      <c r="A312" s="220">
        <v>3727</v>
      </c>
      <c r="B312" s="104">
        <v>41486</v>
      </c>
      <c r="C312" s="91" t="s">
        <v>235</v>
      </c>
      <c r="D312" s="105">
        <v>4200</v>
      </c>
      <c r="E312" s="413">
        <f t="shared" si="1"/>
        <v>694.14603510395659</v>
      </c>
      <c r="F312" s="91" t="s">
        <v>510</v>
      </c>
      <c r="G312" s="91" t="s">
        <v>53</v>
      </c>
      <c r="H312" s="355" t="s">
        <v>1071</v>
      </c>
      <c r="I312" s="91" t="s">
        <v>1109</v>
      </c>
      <c r="J312" s="91" t="s">
        <v>291</v>
      </c>
      <c r="K312" s="356" t="s">
        <v>34</v>
      </c>
      <c r="L312" s="416"/>
    </row>
    <row r="313" spans="1:12">
      <c r="A313" s="220">
        <v>3755</v>
      </c>
      <c r="B313" s="104">
        <v>41486</v>
      </c>
      <c r="C313" s="91" t="s">
        <v>239</v>
      </c>
      <c r="D313" s="105">
        <v>5500</v>
      </c>
      <c r="E313" s="413">
        <f t="shared" si="1"/>
        <v>909.00076025518126</v>
      </c>
      <c r="F313" s="91" t="s">
        <v>509</v>
      </c>
      <c r="G313" s="91" t="s">
        <v>108</v>
      </c>
      <c r="H313" s="355" t="s">
        <v>1071</v>
      </c>
      <c r="I313" s="91" t="s">
        <v>1110</v>
      </c>
      <c r="J313" s="91" t="s">
        <v>291</v>
      </c>
      <c r="K313" s="355" t="s">
        <v>32</v>
      </c>
      <c r="L313" s="416"/>
    </row>
    <row r="314" spans="1:12">
      <c r="A314" s="220">
        <v>3753</v>
      </c>
      <c r="B314" s="104">
        <v>41486</v>
      </c>
      <c r="C314" s="91" t="s">
        <v>1121</v>
      </c>
      <c r="D314" s="105">
        <v>13000</v>
      </c>
      <c r="E314" s="413">
        <f t="shared" si="1"/>
        <v>2148.5472515122465</v>
      </c>
      <c r="F314" s="91" t="s">
        <v>304</v>
      </c>
      <c r="G314" s="91" t="s">
        <v>108</v>
      </c>
      <c r="H314" s="355" t="s">
        <v>1071</v>
      </c>
      <c r="I314" s="91" t="s">
        <v>1110</v>
      </c>
      <c r="J314" s="91" t="s">
        <v>291</v>
      </c>
      <c r="K314" s="356" t="s">
        <v>30</v>
      </c>
      <c r="L314" s="416"/>
    </row>
    <row r="315" spans="1:12">
      <c r="A315" s="220">
        <v>3741</v>
      </c>
      <c r="B315" s="104">
        <v>41486</v>
      </c>
      <c r="C315" s="91" t="s">
        <v>1132</v>
      </c>
      <c r="D315" s="105">
        <v>6000</v>
      </c>
      <c r="E315" s="413">
        <f t="shared" si="1"/>
        <v>991.63719300565231</v>
      </c>
      <c r="F315" s="91" t="s">
        <v>404</v>
      </c>
      <c r="G315" s="91" t="s">
        <v>108</v>
      </c>
      <c r="H315" s="356" t="s">
        <v>119</v>
      </c>
      <c r="I315" s="91" t="s">
        <v>1110</v>
      </c>
      <c r="J315" s="91" t="s">
        <v>291</v>
      </c>
      <c r="K315" s="355"/>
      <c r="L315" s="416"/>
    </row>
    <row r="316" spans="1:12">
      <c r="A316" s="220">
        <v>3754</v>
      </c>
      <c r="B316" s="104">
        <v>41486</v>
      </c>
      <c r="C316" s="91" t="s">
        <v>238</v>
      </c>
      <c r="D316" s="105">
        <v>3000</v>
      </c>
      <c r="E316" s="413">
        <f t="shared" si="1"/>
        <v>495.81859650282615</v>
      </c>
      <c r="F316" s="91" t="s">
        <v>510</v>
      </c>
      <c r="G316" s="91" t="s">
        <v>108</v>
      </c>
      <c r="H316" s="355" t="s">
        <v>118</v>
      </c>
      <c r="I316" s="91" t="s">
        <v>1110</v>
      </c>
      <c r="J316" s="91" t="s">
        <v>291</v>
      </c>
      <c r="K316" s="355" t="s">
        <v>23</v>
      </c>
      <c r="L316" s="416"/>
    </row>
    <row r="317" spans="1:12">
      <c r="A317" s="220">
        <v>3769</v>
      </c>
      <c r="B317" s="104">
        <v>41486</v>
      </c>
      <c r="C317" s="91" t="s">
        <v>286</v>
      </c>
      <c r="D317" s="105">
        <v>76.400000000000006</v>
      </c>
      <c r="E317" s="413">
        <f t="shared" si="1"/>
        <v>12.626846924271973</v>
      </c>
      <c r="F317" s="91" t="s">
        <v>403</v>
      </c>
      <c r="G317" s="91" t="s">
        <v>114</v>
      </c>
      <c r="H317" s="355" t="s">
        <v>1071</v>
      </c>
      <c r="I317" s="91" t="s">
        <v>1110</v>
      </c>
      <c r="J317" s="123" t="s">
        <v>188</v>
      </c>
      <c r="K317" s="356" t="s">
        <v>34</v>
      </c>
      <c r="L317" s="416"/>
    </row>
    <row r="318" spans="1:12">
      <c r="A318" s="220">
        <v>3757</v>
      </c>
      <c r="B318" s="104">
        <v>41486</v>
      </c>
      <c r="C318" s="91" t="s">
        <v>1145</v>
      </c>
      <c r="D318" s="105">
        <v>4500</v>
      </c>
      <c r="E318" s="413">
        <f t="shared" si="1"/>
        <v>743.72789475423917</v>
      </c>
      <c r="F318" s="91" t="s">
        <v>183</v>
      </c>
      <c r="G318" s="92" t="s">
        <v>111</v>
      </c>
      <c r="H318" s="356" t="s">
        <v>119</v>
      </c>
      <c r="I318" s="91" t="s">
        <v>1110</v>
      </c>
      <c r="J318" s="91" t="s">
        <v>101</v>
      </c>
      <c r="K318" s="355"/>
      <c r="L318" s="416"/>
    </row>
    <row r="319" spans="1:12">
      <c r="A319" s="220">
        <v>3758</v>
      </c>
      <c r="B319" s="104">
        <v>41486</v>
      </c>
      <c r="C319" s="91" t="s">
        <v>1155</v>
      </c>
      <c r="D319" s="105">
        <v>4500</v>
      </c>
      <c r="E319" s="413">
        <f t="shared" si="1"/>
        <v>743.72789475423917</v>
      </c>
      <c r="F319" s="91" t="s">
        <v>182</v>
      </c>
      <c r="G319" s="92" t="s">
        <v>111</v>
      </c>
      <c r="H319" s="356" t="s">
        <v>119</v>
      </c>
      <c r="I319" s="91" t="s">
        <v>1110</v>
      </c>
      <c r="J319" s="91" t="s">
        <v>101</v>
      </c>
      <c r="K319" s="355"/>
      <c r="L319" s="416"/>
    </row>
    <row r="320" spans="1:12">
      <c r="A320" s="220">
        <v>3756</v>
      </c>
      <c r="B320" s="104">
        <v>41486</v>
      </c>
      <c r="C320" s="91" t="s">
        <v>1170</v>
      </c>
      <c r="D320" s="105">
        <v>12000</v>
      </c>
      <c r="E320" s="413">
        <f t="shared" si="1"/>
        <v>1983.2743860113046</v>
      </c>
      <c r="F320" s="91" t="s">
        <v>184</v>
      </c>
      <c r="G320" s="92" t="s">
        <v>111</v>
      </c>
      <c r="H320" s="356" t="s">
        <v>119</v>
      </c>
      <c r="I320" s="91" t="s">
        <v>1110</v>
      </c>
      <c r="J320" s="91" t="s">
        <v>101</v>
      </c>
      <c r="K320" s="355"/>
      <c r="L320" s="416"/>
    </row>
    <row r="321" spans="1:12">
      <c r="A321" s="220">
        <v>3730</v>
      </c>
      <c r="B321" s="104">
        <v>41486</v>
      </c>
      <c r="C321" s="91" t="s">
        <v>237</v>
      </c>
      <c r="D321" s="105">
        <v>51.4</v>
      </c>
      <c r="E321" s="413">
        <f t="shared" si="1"/>
        <v>8.4950252867484206</v>
      </c>
      <c r="F321" s="91" t="s">
        <v>264</v>
      </c>
      <c r="G321" s="91" t="s">
        <v>106</v>
      </c>
      <c r="H321" s="356" t="s">
        <v>119</v>
      </c>
      <c r="I321" s="91" t="s">
        <v>1110</v>
      </c>
      <c r="J321" s="91" t="s">
        <v>101</v>
      </c>
      <c r="K321" s="355"/>
      <c r="L321" s="416"/>
    </row>
    <row r="322" spans="1:12">
      <c r="A322" s="352">
        <v>3774</v>
      </c>
      <c r="B322" s="354">
        <v>41487</v>
      </c>
      <c r="C322" s="257" t="s">
        <v>895</v>
      </c>
      <c r="D322" s="276">
        <v>955.68</v>
      </c>
      <c r="E322" s="413">
        <f>D322/6.0406</f>
        <v>158.20944939244444</v>
      </c>
      <c r="F322" s="257" t="s">
        <v>303</v>
      </c>
      <c r="G322" s="91" t="s">
        <v>116</v>
      </c>
      <c r="H322" s="355" t="s">
        <v>118</v>
      </c>
      <c r="I322" s="91" t="s">
        <v>1109</v>
      </c>
      <c r="J322" s="257" t="s">
        <v>832</v>
      </c>
      <c r="K322" s="355" t="s">
        <v>23</v>
      </c>
      <c r="L322" s="416"/>
    </row>
    <row r="323" spans="1:12">
      <c r="A323" s="352">
        <v>3794</v>
      </c>
      <c r="B323" s="354">
        <v>41487</v>
      </c>
      <c r="C323" s="257" t="s">
        <v>893</v>
      </c>
      <c r="D323" s="276">
        <v>7733</v>
      </c>
      <c r="E323" s="413">
        <f>D323/6.0406</f>
        <v>1280.1708439558984</v>
      </c>
      <c r="F323" s="257" t="s">
        <v>638</v>
      </c>
      <c r="G323" s="91" t="s">
        <v>114</v>
      </c>
      <c r="H323" s="355" t="s">
        <v>118</v>
      </c>
      <c r="I323" s="91" t="s">
        <v>1110</v>
      </c>
      <c r="J323" s="257" t="s">
        <v>894</v>
      </c>
      <c r="K323" s="355" t="s">
        <v>23</v>
      </c>
      <c r="L323" s="416"/>
    </row>
    <row r="324" spans="1:12">
      <c r="A324" s="352">
        <v>3775</v>
      </c>
      <c r="B324" s="354">
        <v>41488</v>
      </c>
      <c r="C324" s="257" t="s">
        <v>898</v>
      </c>
      <c r="D324" s="276">
        <v>1137.24</v>
      </c>
      <c r="E324" s="413">
        <f>D324/6.0406</f>
        <v>188.26606628480613</v>
      </c>
      <c r="F324" s="257" t="s">
        <v>409</v>
      </c>
      <c r="G324" s="91" t="s">
        <v>52</v>
      </c>
      <c r="H324" s="355" t="s">
        <v>118</v>
      </c>
      <c r="I324" s="91" t="s">
        <v>1109</v>
      </c>
      <c r="J324" s="257" t="s">
        <v>832</v>
      </c>
      <c r="K324" s="355" t="s">
        <v>24</v>
      </c>
      <c r="L324" s="416"/>
    </row>
    <row r="325" spans="1:12">
      <c r="A325" s="352">
        <v>3790</v>
      </c>
      <c r="B325" s="354">
        <v>41488</v>
      </c>
      <c r="C325" s="257" t="s">
        <v>896</v>
      </c>
      <c r="D325" s="276">
        <v>36</v>
      </c>
      <c r="E325" s="413">
        <f>D325/6.0406</f>
        <v>5.9596728801774654</v>
      </c>
      <c r="F325" s="257" t="s">
        <v>179</v>
      </c>
      <c r="G325" s="91" t="s">
        <v>132</v>
      </c>
      <c r="H325" s="355" t="s">
        <v>118</v>
      </c>
      <c r="I325" s="268" t="s">
        <v>1109</v>
      </c>
      <c r="J325" s="257" t="s">
        <v>188</v>
      </c>
      <c r="K325" s="355" t="s">
        <v>23</v>
      </c>
      <c r="L325" s="416"/>
    </row>
    <row r="326" spans="1:12">
      <c r="A326" s="352">
        <v>3789</v>
      </c>
      <c r="B326" s="354">
        <v>41488</v>
      </c>
      <c r="C326" s="257" t="s">
        <v>897</v>
      </c>
      <c r="D326" s="276">
        <v>713.6</v>
      </c>
      <c r="E326" s="413">
        <f>D326/6.0406</f>
        <v>118.13396020262887</v>
      </c>
      <c r="F326" s="257" t="s">
        <v>403</v>
      </c>
      <c r="G326" s="257" t="s">
        <v>106</v>
      </c>
      <c r="H326" s="355" t="s">
        <v>1071</v>
      </c>
      <c r="I326" s="91" t="s">
        <v>1110</v>
      </c>
      <c r="J326" s="257" t="s">
        <v>188</v>
      </c>
      <c r="K326" s="355" t="s">
        <v>34</v>
      </c>
      <c r="L326" s="416"/>
    </row>
    <row r="327" spans="1:12" ht="15">
      <c r="A327" s="352">
        <v>3797</v>
      </c>
      <c r="B327" s="354">
        <v>41491</v>
      </c>
      <c r="C327" s="257" t="s">
        <v>296</v>
      </c>
      <c r="D327" s="424"/>
      <c r="E327" s="413">
        <v>200</v>
      </c>
      <c r="F327" s="257" t="s">
        <v>185</v>
      </c>
      <c r="G327" s="257" t="s">
        <v>113</v>
      </c>
      <c r="H327" s="408" t="s">
        <v>123</v>
      </c>
      <c r="I327" s="91" t="s">
        <v>1110</v>
      </c>
      <c r="J327" s="257" t="s">
        <v>984</v>
      </c>
      <c r="K327" s="355"/>
      <c r="L327" s="416"/>
    </row>
    <row r="328" spans="1:12">
      <c r="A328" s="352">
        <v>3776</v>
      </c>
      <c r="B328" s="354">
        <v>41492</v>
      </c>
      <c r="C328" s="257" t="s">
        <v>899</v>
      </c>
      <c r="D328" s="276">
        <v>2096.4299999999998</v>
      </c>
      <c r="E328" s="413">
        <f t="shared" ref="E328:E337" si="2">D328/6.0406</f>
        <v>347.05658378306788</v>
      </c>
      <c r="F328" s="257" t="s">
        <v>409</v>
      </c>
      <c r="G328" s="91" t="s">
        <v>52</v>
      </c>
      <c r="H328" s="355" t="s">
        <v>118</v>
      </c>
      <c r="I328" s="91" t="s">
        <v>1109</v>
      </c>
      <c r="J328" s="257" t="s">
        <v>832</v>
      </c>
      <c r="K328" s="355" t="s">
        <v>24</v>
      </c>
      <c r="L328" s="416"/>
    </row>
    <row r="329" spans="1:12">
      <c r="A329" s="352">
        <v>3783</v>
      </c>
      <c r="B329" s="354">
        <v>41492</v>
      </c>
      <c r="C329" s="257" t="s">
        <v>513</v>
      </c>
      <c r="D329" s="276">
        <v>50</v>
      </c>
      <c r="E329" s="413">
        <f t="shared" si="2"/>
        <v>8.277323444690925</v>
      </c>
      <c r="F329" s="257" t="s">
        <v>403</v>
      </c>
      <c r="G329" s="91" t="s">
        <v>114</v>
      </c>
      <c r="H329" s="355" t="s">
        <v>1071</v>
      </c>
      <c r="I329" s="91" t="s">
        <v>1110</v>
      </c>
      <c r="J329" s="257" t="s">
        <v>188</v>
      </c>
      <c r="K329" s="356" t="s">
        <v>34</v>
      </c>
      <c r="L329" s="416"/>
    </row>
    <row r="330" spans="1:12">
      <c r="A330" s="352">
        <v>3796</v>
      </c>
      <c r="B330" s="354">
        <v>41493</v>
      </c>
      <c r="C330" s="257" t="s">
        <v>237</v>
      </c>
      <c r="D330" s="276">
        <v>8</v>
      </c>
      <c r="E330" s="413">
        <f t="shared" si="2"/>
        <v>1.3243717511505479</v>
      </c>
      <c r="F330" s="257" t="s">
        <v>264</v>
      </c>
      <c r="G330" s="268" t="s">
        <v>106</v>
      </c>
      <c r="H330" s="356" t="s">
        <v>119</v>
      </c>
      <c r="I330" s="91" t="s">
        <v>1110</v>
      </c>
      <c r="J330" s="257" t="s">
        <v>894</v>
      </c>
      <c r="K330" s="356"/>
      <c r="L330" s="416"/>
    </row>
    <row r="331" spans="1:12">
      <c r="A331" s="352">
        <v>3784</v>
      </c>
      <c r="B331" s="354">
        <v>41494</v>
      </c>
      <c r="C331" s="257" t="s">
        <v>901</v>
      </c>
      <c r="D331" s="276">
        <v>1240</v>
      </c>
      <c r="E331" s="413">
        <f t="shared" si="2"/>
        <v>205.27762142833492</v>
      </c>
      <c r="F331" s="257" t="s">
        <v>489</v>
      </c>
      <c r="G331" s="91" t="s">
        <v>132</v>
      </c>
      <c r="H331" s="356" t="s">
        <v>119</v>
      </c>
      <c r="I331" s="268" t="s">
        <v>1109</v>
      </c>
      <c r="J331" s="257" t="s">
        <v>188</v>
      </c>
      <c r="K331" s="356"/>
      <c r="L331" s="416"/>
    </row>
    <row r="332" spans="1:12">
      <c r="A332" s="352">
        <v>3795</v>
      </c>
      <c r="B332" s="354">
        <v>41494</v>
      </c>
      <c r="C332" s="257" t="s">
        <v>900</v>
      </c>
      <c r="D332" s="276">
        <v>3850</v>
      </c>
      <c r="E332" s="413">
        <f t="shared" si="2"/>
        <v>637.35390524120112</v>
      </c>
      <c r="F332" s="257" t="s">
        <v>264</v>
      </c>
      <c r="G332" s="268" t="s">
        <v>106</v>
      </c>
      <c r="H332" s="356" t="s">
        <v>119</v>
      </c>
      <c r="I332" s="91" t="s">
        <v>1110</v>
      </c>
      <c r="J332" s="257" t="s">
        <v>894</v>
      </c>
      <c r="K332" s="356"/>
      <c r="L332" s="416"/>
    </row>
    <row r="333" spans="1:12">
      <c r="A333" s="352">
        <v>3778</v>
      </c>
      <c r="B333" s="354">
        <v>41496</v>
      </c>
      <c r="C333" s="257" t="s">
        <v>558</v>
      </c>
      <c r="D333" s="276">
        <v>443.73</v>
      </c>
      <c r="E333" s="413">
        <f t="shared" si="2"/>
        <v>73.457934642254074</v>
      </c>
      <c r="F333" s="257" t="s">
        <v>181</v>
      </c>
      <c r="G333" s="91" t="s">
        <v>114</v>
      </c>
      <c r="H333" s="355" t="s">
        <v>118</v>
      </c>
      <c r="I333" s="91" t="s">
        <v>1109</v>
      </c>
      <c r="J333" s="257" t="s">
        <v>832</v>
      </c>
      <c r="K333" s="355" t="s">
        <v>23</v>
      </c>
      <c r="L333" s="416"/>
    </row>
    <row r="334" spans="1:12">
      <c r="A334" s="352">
        <v>3777</v>
      </c>
      <c r="B334" s="354">
        <v>41496</v>
      </c>
      <c r="C334" s="257" t="s">
        <v>186</v>
      </c>
      <c r="D334" s="276">
        <v>173.6</v>
      </c>
      <c r="E334" s="413">
        <f t="shared" si="2"/>
        <v>28.738866999966888</v>
      </c>
      <c r="F334" s="257" t="s">
        <v>302</v>
      </c>
      <c r="G334" s="91" t="s">
        <v>114</v>
      </c>
      <c r="H334" s="355" t="s">
        <v>1071</v>
      </c>
      <c r="I334" s="91" t="s">
        <v>1109</v>
      </c>
      <c r="J334" s="257" t="s">
        <v>832</v>
      </c>
      <c r="K334" s="356" t="s">
        <v>29</v>
      </c>
      <c r="L334" s="416"/>
    </row>
    <row r="335" spans="1:12">
      <c r="A335" s="352">
        <v>3780</v>
      </c>
      <c r="B335" s="354">
        <v>41499</v>
      </c>
      <c r="C335" s="257" t="s">
        <v>902</v>
      </c>
      <c r="D335" s="276">
        <v>480</v>
      </c>
      <c r="E335" s="413">
        <f t="shared" si="2"/>
        <v>79.462305069032865</v>
      </c>
      <c r="F335" s="257" t="s">
        <v>270</v>
      </c>
      <c r="G335" s="91" t="s">
        <v>52</v>
      </c>
      <c r="H335" s="355" t="s">
        <v>1071</v>
      </c>
      <c r="I335" s="91" t="s">
        <v>1109</v>
      </c>
      <c r="J335" s="257" t="s">
        <v>832</v>
      </c>
      <c r="K335" s="355" t="s">
        <v>32</v>
      </c>
      <c r="L335" s="416"/>
    </row>
    <row r="336" spans="1:12">
      <c r="A336" s="352">
        <v>3779</v>
      </c>
      <c r="B336" s="354">
        <v>41499</v>
      </c>
      <c r="C336" s="257" t="s">
        <v>903</v>
      </c>
      <c r="D336" s="276">
        <v>480</v>
      </c>
      <c r="E336" s="413">
        <f t="shared" si="2"/>
        <v>79.462305069032865</v>
      </c>
      <c r="F336" s="257" t="s">
        <v>270</v>
      </c>
      <c r="G336" s="91" t="s">
        <v>52</v>
      </c>
      <c r="H336" s="355" t="s">
        <v>1071</v>
      </c>
      <c r="I336" s="91" t="s">
        <v>1109</v>
      </c>
      <c r="J336" s="257" t="s">
        <v>832</v>
      </c>
      <c r="K336" s="356" t="s">
        <v>29</v>
      </c>
      <c r="L336" s="416"/>
    </row>
    <row r="337" spans="1:12">
      <c r="A337" s="352">
        <v>3785</v>
      </c>
      <c r="B337" s="354">
        <v>41500</v>
      </c>
      <c r="C337" s="257" t="s">
        <v>513</v>
      </c>
      <c r="D337" s="276">
        <v>50</v>
      </c>
      <c r="E337" s="413">
        <f t="shared" si="2"/>
        <v>8.277323444690925</v>
      </c>
      <c r="F337" s="257" t="s">
        <v>403</v>
      </c>
      <c r="G337" s="91" t="s">
        <v>114</v>
      </c>
      <c r="H337" s="355" t="s">
        <v>1071</v>
      </c>
      <c r="I337" s="91" t="s">
        <v>1110</v>
      </c>
      <c r="J337" s="257" t="s">
        <v>188</v>
      </c>
      <c r="K337" s="356" t="s">
        <v>34</v>
      </c>
      <c r="L337" s="416"/>
    </row>
    <row r="338" spans="1:12" ht="15">
      <c r="A338" s="352">
        <v>3798</v>
      </c>
      <c r="B338" s="354">
        <v>41506</v>
      </c>
      <c r="C338" s="257" t="s">
        <v>904</v>
      </c>
      <c r="D338" s="424"/>
      <c r="E338" s="413">
        <v>45</v>
      </c>
      <c r="F338" s="257" t="s">
        <v>363</v>
      </c>
      <c r="G338" s="91" t="s">
        <v>114</v>
      </c>
      <c r="H338" s="355" t="s">
        <v>1071</v>
      </c>
      <c r="I338" s="91" t="s">
        <v>1110</v>
      </c>
      <c r="J338" s="257" t="s">
        <v>984</v>
      </c>
      <c r="K338" s="356" t="s">
        <v>29</v>
      </c>
      <c r="L338" s="416"/>
    </row>
    <row r="339" spans="1:12">
      <c r="A339" s="352">
        <v>3786</v>
      </c>
      <c r="B339" s="354">
        <v>41507</v>
      </c>
      <c r="C339" s="257" t="s">
        <v>513</v>
      </c>
      <c r="D339" s="276">
        <v>50</v>
      </c>
      <c r="E339" s="413">
        <f>D339/6.0406</f>
        <v>8.277323444690925</v>
      </c>
      <c r="F339" s="257" t="s">
        <v>403</v>
      </c>
      <c r="G339" s="91" t="s">
        <v>114</v>
      </c>
      <c r="H339" s="355" t="s">
        <v>1071</v>
      </c>
      <c r="I339" s="91" t="s">
        <v>1110</v>
      </c>
      <c r="J339" s="257" t="s">
        <v>188</v>
      </c>
      <c r="K339" s="356" t="s">
        <v>34</v>
      </c>
      <c r="L339" s="416"/>
    </row>
    <row r="340" spans="1:12" ht="15">
      <c r="A340" s="352">
        <v>3898</v>
      </c>
      <c r="B340" s="354">
        <v>41511</v>
      </c>
      <c r="C340" s="257" t="s">
        <v>714</v>
      </c>
      <c r="D340" s="424"/>
      <c r="E340" s="413">
        <v>95</v>
      </c>
      <c r="F340" s="257" t="s">
        <v>715</v>
      </c>
      <c r="G340" s="257" t="s">
        <v>109</v>
      </c>
      <c r="H340" s="355" t="s">
        <v>118</v>
      </c>
      <c r="I340" s="91" t="s">
        <v>1110</v>
      </c>
      <c r="J340" s="257" t="s">
        <v>102</v>
      </c>
      <c r="K340" s="355" t="s">
        <v>23</v>
      </c>
      <c r="L340" s="416"/>
    </row>
    <row r="341" spans="1:12">
      <c r="A341" s="352">
        <v>3791</v>
      </c>
      <c r="B341" s="354">
        <v>41513</v>
      </c>
      <c r="C341" s="257" t="s">
        <v>805</v>
      </c>
      <c r="D341" s="276">
        <v>100.3</v>
      </c>
      <c r="E341" s="413">
        <f>D341/6.0406</f>
        <v>16.604310830049993</v>
      </c>
      <c r="F341" s="257" t="s">
        <v>638</v>
      </c>
      <c r="G341" s="91" t="s">
        <v>114</v>
      </c>
      <c r="H341" s="355" t="s">
        <v>1071</v>
      </c>
      <c r="I341" s="268" t="s">
        <v>1109</v>
      </c>
      <c r="J341" s="257" t="s">
        <v>188</v>
      </c>
      <c r="K341" s="356" t="s">
        <v>29</v>
      </c>
      <c r="L341" s="416"/>
    </row>
    <row r="342" spans="1:12">
      <c r="A342" s="352">
        <v>3787</v>
      </c>
      <c r="B342" s="354">
        <v>41514</v>
      </c>
      <c r="C342" s="257" t="s">
        <v>513</v>
      </c>
      <c r="D342" s="276">
        <v>50</v>
      </c>
      <c r="E342" s="413">
        <f>D342/6.0406</f>
        <v>8.277323444690925</v>
      </c>
      <c r="F342" s="257" t="s">
        <v>403</v>
      </c>
      <c r="G342" s="91" t="s">
        <v>114</v>
      </c>
      <c r="H342" s="355" t="s">
        <v>1071</v>
      </c>
      <c r="I342" s="91" t="s">
        <v>1110</v>
      </c>
      <c r="J342" s="257" t="s">
        <v>188</v>
      </c>
      <c r="K342" s="356" t="s">
        <v>34</v>
      </c>
      <c r="L342" s="416"/>
    </row>
    <row r="343" spans="1:12" ht="15">
      <c r="A343" s="352">
        <v>3799</v>
      </c>
      <c r="B343" s="354">
        <v>41514</v>
      </c>
      <c r="C343" s="268" t="s">
        <v>31</v>
      </c>
      <c r="D343" s="424"/>
      <c r="E343" s="413">
        <v>407</v>
      </c>
      <c r="F343" s="257" t="s">
        <v>806</v>
      </c>
      <c r="G343" s="91" t="s">
        <v>132</v>
      </c>
      <c r="H343" s="355" t="s">
        <v>1071</v>
      </c>
      <c r="I343" s="91" t="s">
        <v>1110</v>
      </c>
      <c r="J343" s="257" t="s">
        <v>984</v>
      </c>
      <c r="K343" s="355" t="s">
        <v>30</v>
      </c>
      <c r="L343" s="416"/>
    </row>
    <row r="344" spans="1:12">
      <c r="A344" s="352">
        <v>3793</v>
      </c>
      <c r="B344" s="354">
        <v>41514</v>
      </c>
      <c r="C344" s="257" t="s">
        <v>807</v>
      </c>
      <c r="D344" s="276">
        <v>40</v>
      </c>
      <c r="E344" s="413">
        <f t="shared" ref="E344:E349" si="3">D344/6.0406</f>
        <v>6.6218587557527391</v>
      </c>
      <c r="F344" s="257" t="s">
        <v>510</v>
      </c>
      <c r="G344" s="91" t="s">
        <v>132</v>
      </c>
      <c r="H344" s="355" t="s">
        <v>1071</v>
      </c>
      <c r="I344" s="91" t="s">
        <v>1110</v>
      </c>
      <c r="J344" s="257" t="s">
        <v>188</v>
      </c>
      <c r="K344" s="356" t="s">
        <v>29</v>
      </c>
      <c r="L344" s="416"/>
    </row>
    <row r="345" spans="1:12">
      <c r="A345" s="352">
        <v>3781</v>
      </c>
      <c r="B345" s="354">
        <v>41515</v>
      </c>
      <c r="C345" s="257" t="s">
        <v>808</v>
      </c>
      <c r="D345" s="276">
        <v>1143</v>
      </c>
      <c r="E345" s="413">
        <f t="shared" si="3"/>
        <v>189.21961394563453</v>
      </c>
      <c r="F345" s="257" t="s">
        <v>409</v>
      </c>
      <c r="G345" s="91" t="s">
        <v>52</v>
      </c>
      <c r="H345" s="355" t="s">
        <v>1071</v>
      </c>
      <c r="I345" s="91" t="s">
        <v>1109</v>
      </c>
      <c r="J345" s="257" t="s">
        <v>832</v>
      </c>
      <c r="K345" s="356" t="s">
        <v>29</v>
      </c>
      <c r="L345" s="416"/>
    </row>
    <row r="346" spans="1:12">
      <c r="A346" s="352">
        <v>3771</v>
      </c>
      <c r="B346" s="354">
        <v>41516</v>
      </c>
      <c r="C346" s="257" t="s">
        <v>713</v>
      </c>
      <c r="D346" s="276">
        <v>10000</v>
      </c>
      <c r="E346" s="413">
        <f t="shared" si="3"/>
        <v>1655.4646889381847</v>
      </c>
      <c r="F346" s="92" t="s">
        <v>511</v>
      </c>
      <c r="G346" s="91" t="s">
        <v>51</v>
      </c>
      <c r="H346" s="355" t="s">
        <v>1071</v>
      </c>
      <c r="I346" s="91" t="s">
        <v>1109</v>
      </c>
      <c r="J346" s="91" t="s">
        <v>175</v>
      </c>
      <c r="K346" s="355" t="s">
        <v>29</v>
      </c>
      <c r="L346" s="416"/>
    </row>
    <row r="347" spans="1:12">
      <c r="A347" s="352">
        <v>3782</v>
      </c>
      <c r="B347" s="354">
        <v>41516</v>
      </c>
      <c r="C347" s="257" t="s">
        <v>809</v>
      </c>
      <c r="D347" s="276">
        <v>1137.24</v>
      </c>
      <c r="E347" s="413">
        <f t="shared" si="3"/>
        <v>188.26606628480613</v>
      </c>
      <c r="F347" s="257" t="s">
        <v>409</v>
      </c>
      <c r="G347" s="91" t="s">
        <v>52</v>
      </c>
      <c r="H347" s="355" t="s">
        <v>118</v>
      </c>
      <c r="I347" s="91" t="s">
        <v>1109</v>
      </c>
      <c r="J347" s="257" t="s">
        <v>832</v>
      </c>
      <c r="K347" s="355" t="s">
        <v>24</v>
      </c>
      <c r="L347" s="416"/>
    </row>
    <row r="348" spans="1:12">
      <c r="A348" s="352">
        <v>3792</v>
      </c>
      <c r="B348" s="354">
        <v>41516</v>
      </c>
      <c r="C348" s="257" t="s">
        <v>1117</v>
      </c>
      <c r="D348" s="276">
        <v>13000</v>
      </c>
      <c r="E348" s="413">
        <f t="shared" si="3"/>
        <v>2152.1040956196402</v>
      </c>
      <c r="F348" s="257" t="s">
        <v>304</v>
      </c>
      <c r="G348" s="91" t="s">
        <v>108</v>
      </c>
      <c r="H348" s="355" t="s">
        <v>1071</v>
      </c>
      <c r="I348" s="91" t="s">
        <v>1110</v>
      </c>
      <c r="J348" s="257" t="s">
        <v>188</v>
      </c>
      <c r="K348" s="356" t="s">
        <v>30</v>
      </c>
      <c r="L348" s="416"/>
    </row>
    <row r="349" spans="1:12">
      <c r="A349" s="352">
        <v>3788</v>
      </c>
      <c r="B349" s="354">
        <v>41516</v>
      </c>
      <c r="C349" s="257" t="s">
        <v>513</v>
      </c>
      <c r="D349" s="276">
        <v>50</v>
      </c>
      <c r="E349" s="413">
        <f t="shared" si="3"/>
        <v>8.277323444690925</v>
      </c>
      <c r="F349" s="257" t="s">
        <v>403</v>
      </c>
      <c r="G349" s="91" t="s">
        <v>114</v>
      </c>
      <c r="H349" s="355" t="s">
        <v>1071</v>
      </c>
      <c r="I349" s="91" t="s">
        <v>1110</v>
      </c>
      <c r="J349" s="257" t="s">
        <v>188</v>
      </c>
      <c r="K349" s="356" t="s">
        <v>34</v>
      </c>
      <c r="L349" s="416"/>
    </row>
    <row r="350" spans="1:12">
      <c r="A350" s="352">
        <v>3875</v>
      </c>
      <c r="B350" s="354">
        <v>41518</v>
      </c>
      <c r="C350" s="257" t="s">
        <v>716</v>
      </c>
      <c r="D350" s="276">
        <v>186.8</v>
      </c>
      <c r="E350" s="413">
        <f t="shared" ref="E350:E356" si="4">D350/6.0121</f>
        <v>31.070674140483359</v>
      </c>
      <c r="F350" s="257" t="s">
        <v>717</v>
      </c>
      <c r="G350" s="257" t="s">
        <v>106</v>
      </c>
      <c r="H350" s="355" t="s">
        <v>1071</v>
      </c>
      <c r="I350" s="268" t="s">
        <v>1109</v>
      </c>
      <c r="J350" s="257" t="s">
        <v>188</v>
      </c>
      <c r="K350" s="355" t="s">
        <v>34</v>
      </c>
      <c r="L350" s="416"/>
    </row>
    <row r="351" spans="1:12">
      <c r="A351" s="352">
        <v>3874</v>
      </c>
      <c r="B351" s="354">
        <v>41518</v>
      </c>
      <c r="C351" s="257" t="s">
        <v>718</v>
      </c>
      <c r="D351" s="276">
        <v>450</v>
      </c>
      <c r="E351" s="413">
        <f t="shared" si="4"/>
        <v>74.849054406945996</v>
      </c>
      <c r="F351" s="257" t="s">
        <v>641</v>
      </c>
      <c r="G351" s="257" t="s">
        <v>106</v>
      </c>
      <c r="H351" s="355" t="s">
        <v>1071</v>
      </c>
      <c r="I351" s="91" t="s">
        <v>1110</v>
      </c>
      <c r="J351" s="257" t="s">
        <v>188</v>
      </c>
      <c r="K351" s="355" t="s">
        <v>34</v>
      </c>
      <c r="L351" s="416"/>
    </row>
    <row r="352" spans="1:12">
      <c r="A352" s="352">
        <v>3772</v>
      </c>
      <c r="B352" s="354">
        <v>41519</v>
      </c>
      <c r="C352" s="257" t="s">
        <v>823</v>
      </c>
      <c r="D352" s="276">
        <v>7500</v>
      </c>
      <c r="E352" s="413">
        <f t="shared" si="4"/>
        <v>1247.4842401157664</v>
      </c>
      <c r="F352" s="257" t="s">
        <v>509</v>
      </c>
      <c r="G352" s="91" t="s">
        <v>51</v>
      </c>
      <c r="H352" s="355" t="s">
        <v>1071</v>
      </c>
      <c r="I352" s="91" t="s">
        <v>1109</v>
      </c>
      <c r="J352" s="257" t="s">
        <v>188</v>
      </c>
      <c r="K352" s="355" t="s">
        <v>32</v>
      </c>
      <c r="L352" s="416"/>
    </row>
    <row r="353" spans="1:15">
      <c r="A353" s="352">
        <v>3773</v>
      </c>
      <c r="B353" s="354">
        <v>41519</v>
      </c>
      <c r="C353" s="257" t="s">
        <v>822</v>
      </c>
      <c r="D353" s="276">
        <v>4200</v>
      </c>
      <c r="E353" s="413">
        <f t="shared" si="4"/>
        <v>698.59117446482924</v>
      </c>
      <c r="F353" s="257" t="s">
        <v>510</v>
      </c>
      <c r="G353" s="91" t="s">
        <v>53</v>
      </c>
      <c r="H353" s="355" t="s">
        <v>1071</v>
      </c>
      <c r="I353" s="91" t="s">
        <v>1109</v>
      </c>
      <c r="J353" s="257" t="s">
        <v>188</v>
      </c>
      <c r="K353" s="356" t="s">
        <v>34</v>
      </c>
      <c r="L353" s="416"/>
    </row>
    <row r="354" spans="1:15">
      <c r="A354" s="352">
        <v>3871</v>
      </c>
      <c r="B354" s="354">
        <v>41519</v>
      </c>
      <c r="C354" s="257" t="s">
        <v>820</v>
      </c>
      <c r="D354" s="276">
        <v>3000</v>
      </c>
      <c r="E354" s="413">
        <f t="shared" si="4"/>
        <v>498.99369604630658</v>
      </c>
      <c r="F354" s="257" t="s">
        <v>510</v>
      </c>
      <c r="G354" s="91" t="s">
        <v>108</v>
      </c>
      <c r="H354" s="355" t="s">
        <v>118</v>
      </c>
      <c r="I354" s="91" t="s">
        <v>1110</v>
      </c>
      <c r="J354" s="257" t="s">
        <v>188</v>
      </c>
      <c r="K354" s="356" t="s">
        <v>27</v>
      </c>
      <c r="L354" s="416"/>
    </row>
    <row r="355" spans="1:15">
      <c r="A355" s="352">
        <v>3872</v>
      </c>
      <c r="B355" s="354">
        <v>41519</v>
      </c>
      <c r="C355" s="257" t="s">
        <v>513</v>
      </c>
      <c r="D355" s="276">
        <v>50</v>
      </c>
      <c r="E355" s="413">
        <f t="shared" si="4"/>
        <v>8.3165616007717773</v>
      </c>
      <c r="F355" s="257" t="s">
        <v>403</v>
      </c>
      <c r="G355" s="91" t="s">
        <v>114</v>
      </c>
      <c r="H355" s="355" t="s">
        <v>1071</v>
      </c>
      <c r="I355" s="91" t="s">
        <v>1110</v>
      </c>
      <c r="J355" s="257" t="s">
        <v>188</v>
      </c>
      <c r="K355" s="356" t="s">
        <v>34</v>
      </c>
      <c r="L355" s="416"/>
    </row>
    <row r="356" spans="1:15">
      <c r="A356" s="352">
        <v>3891</v>
      </c>
      <c r="B356" s="354">
        <v>41519</v>
      </c>
      <c r="C356" s="257" t="s">
        <v>1179</v>
      </c>
      <c r="D356" s="276">
        <v>2000</v>
      </c>
      <c r="E356" s="413">
        <f t="shared" si="4"/>
        <v>332.66246403087109</v>
      </c>
      <c r="F356" s="257" t="s">
        <v>818</v>
      </c>
      <c r="G356" s="92" t="s">
        <v>111</v>
      </c>
      <c r="H356" s="356" t="s">
        <v>119</v>
      </c>
      <c r="I356" s="91" t="s">
        <v>1110</v>
      </c>
      <c r="J356" s="268" t="s">
        <v>894</v>
      </c>
      <c r="K356" s="355"/>
      <c r="L356" s="416"/>
    </row>
    <row r="357" spans="1:15">
      <c r="A357" s="275" t="s">
        <v>1056</v>
      </c>
      <c r="B357" s="354">
        <v>41519</v>
      </c>
      <c r="C357" s="257" t="s">
        <v>819</v>
      </c>
      <c r="D357" s="276">
        <v>75000</v>
      </c>
      <c r="E357" s="413">
        <f>200+7974.84240115766</f>
        <v>8174.8424011576599</v>
      </c>
      <c r="F357" s="257" t="s">
        <v>357</v>
      </c>
      <c r="G357" s="257" t="s">
        <v>113</v>
      </c>
      <c r="H357" s="355" t="s">
        <v>118</v>
      </c>
      <c r="I357" s="268" t="s">
        <v>1109</v>
      </c>
      <c r="J357" s="257" t="s">
        <v>188</v>
      </c>
      <c r="K357" s="355" t="s">
        <v>23</v>
      </c>
      <c r="L357" s="416"/>
    </row>
    <row r="358" spans="1:15">
      <c r="A358" s="275" t="s">
        <v>1055</v>
      </c>
      <c r="B358" s="354">
        <v>41519</v>
      </c>
      <c r="C358" s="257" t="s">
        <v>819</v>
      </c>
      <c r="D358" s="276">
        <v>75000</v>
      </c>
      <c r="E358" s="413">
        <v>4300</v>
      </c>
      <c r="F358" s="257" t="s">
        <v>357</v>
      </c>
      <c r="G358" s="257" t="s">
        <v>113</v>
      </c>
      <c r="H358" s="355" t="s">
        <v>1071</v>
      </c>
      <c r="I358" s="268" t="s">
        <v>1109</v>
      </c>
      <c r="J358" s="257" t="s">
        <v>188</v>
      </c>
      <c r="K358" s="356" t="s">
        <v>40</v>
      </c>
      <c r="L358" s="416"/>
    </row>
    <row r="359" spans="1:15">
      <c r="A359" s="352">
        <v>3869</v>
      </c>
      <c r="B359" s="354">
        <v>41519</v>
      </c>
      <c r="C359" s="257" t="s">
        <v>821</v>
      </c>
      <c r="D359" s="276">
        <v>30</v>
      </c>
      <c r="E359" s="413">
        <f>D359/6.0121</f>
        <v>4.9899369604630657</v>
      </c>
      <c r="F359" s="257" t="s">
        <v>510</v>
      </c>
      <c r="G359" s="91" t="s">
        <v>132</v>
      </c>
      <c r="H359" s="355" t="s">
        <v>1071</v>
      </c>
      <c r="I359" s="91" t="s">
        <v>1110</v>
      </c>
      <c r="J359" s="257" t="s">
        <v>188</v>
      </c>
      <c r="K359" s="356" t="s">
        <v>29</v>
      </c>
      <c r="L359" s="416"/>
    </row>
    <row r="360" spans="1:15" ht="15">
      <c r="A360" s="352">
        <v>3900</v>
      </c>
      <c r="B360" s="354">
        <v>41520</v>
      </c>
      <c r="C360" s="257" t="s">
        <v>824</v>
      </c>
      <c r="D360" s="424"/>
      <c r="E360" s="413">
        <v>110.41</v>
      </c>
      <c r="F360" s="257" t="s">
        <v>825</v>
      </c>
      <c r="G360" s="91" t="s">
        <v>52</v>
      </c>
      <c r="H360" s="355" t="s">
        <v>1071</v>
      </c>
      <c r="I360" s="91" t="s">
        <v>1110</v>
      </c>
      <c r="J360" s="268" t="s">
        <v>102</v>
      </c>
      <c r="K360" s="355" t="s">
        <v>29</v>
      </c>
      <c r="L360" s="416"/>
    </row>
    <row r="361" spans="1:15">
      <c r="A361" s="352">
        <v>3877</v>
      </c>
      <c r="B361" s="354">
        <v>41520</v>
      </c>
      <c r="C361" s="257" t="s">
        <v>513</v>
      </c>
      <c r="D361" s="276">
        <v>50</v>
      </c>
      <c r="E361" s="413">
        <f>D361/6.0121</f>
        <v>8.3165616007717773</v>
      </c>
      <c r="F361" s="257" t="s">
        <v>403</v>
      </c>
      <c r="G361" s="91" t="s">
        <v>114</v>
      </c>
      <c r="H361" s="355" t="s">
        <v>1071</v>
      </c>
      <c r="I361" s="91" t="s">
        <v>1110</v>
      </c>
      <c r="J361" s="257" t="s">
        <v>188</v>
      </c>
      <c r="K361" s="356" t="s">
        <v>34</v>
      </c>
      <c r="L361" s="416"/>
    </row>
    <row r="362" spans="1:15">
      <c r="A362" s="352">
        <v>3853</v>
      </c>
      <c r="B362" s="354">
        <v>41520</v>
      </c>
      <c r="C362" s="257" t="s">
        <v>901</v>
      </c>
      <c r="D362" s="276">
        <v>1510</v>
      </c>
      <c r="E362" s="413">
        <f>D362/6.0121</f>
        <v>251.16016034330767</v>
      </c>
      <c r="F362" s="257" t="s">
        <v>489</v>
      </c>
      <c r="G362" s="91" t="s">
        <v>132</v>
      </c>
      <c r="H362" s="356" t="s">
        <v>119</v>
      </c>
      <c r="I362" s="91" t="s">
        <v>1110</v>
      </c>
      <c r="J362" s="257" t="s">
        <v>101</v>
      </c>
      <c r="K362" s="356"/>
      <c r="L362" s="416"/>
    </row>
    <row r="363" spans="1:15">
      <c r="A363" s="352">
        <v>3860</v>
      </c>
      <c r="B363" s="354">
        <v>41520</v>
      </c>
      <c r="C363" s="257" t="s">
        <v>826</v>
      </c>
      <c r="D363" s="276">
        <v>955</v>
      </c>
      <c r="E363" s="413">
        <f>D363/6.0121</f>
        <v>158.84632657474094</v>
      </c>
      <c r="F363" s="257" t="s">
        <v>264</v>
      </c>
      <c r="G363" s="268" t="s">
        <v>106</v>
      </c>
      <c r="H363" s="356" t="s">
        <v>119</v>
      </c>
      <c r="I363" s="91" t="s">
        <v>1110</v>
      </c>
      <c r="J363" s="257" t="s">
        <v>101</v>
      </c>
      <c r="K363" s="356"/>
      <c r="L363" s="416"/>
    </row>
    <row r="364" spans="1:15">
      <c r="A364" s="352">
        <v>3813</v>
      </c>
      <c r="B364" s="354">
        <v>41520</v>
      </c>
      <c r="C364" s="257" t="s">
        <v>827</v>
      </c>
      <c r="D364" s="276">
        <v>32</v>
      </c>
      <c r="E364" s="413">
        <f>D364/6.0121</f>
        <v>5.3225994244939372</v>
      </c>
      <c r="F364" s="257" t="s">
        <v>264</v>
      </c>
      <c r="G364" s="268" t="s">
        <v>106</v>
      </c>
      <c r="H364" s="356" t="s">
        <v>119</v>
      </c>
      <c r="I364" s="91" t="s">
        <v>1110</v>
      </c>
      <c r="J364" s="268" t="s">
        <v>101</v>
      </c>
      <c r="K364" s="356"/>
      <c r="L364" s="416"/>
    </row>
    <row r="365" spans="1:15">
      <c r="A365" s="352">
        <v>3812</v>
      </c>
      <c r="B365" s="354">
        <v>41520</v>
      </c>
      <c r="C365" s="257" t="s">
        <v>828</v>
      </c>
      <c r="D365" s="276">
        <v>4234</v>
      </c>
      <c r="E365" s="413">
        <f>D365/6.0121</f>
        <v>704.24643635335406</v>
      </c>
      <c r="F365" s="257" t="s">
        <v>264</v>
      </c>
      <c r="G365" s="268" t="s">
        <v>106</v>
      </c>
      <c r="H365" s="356" t="s">
        <v>119</v>
      </c>
      <c r="I365" s="91" t="s">
        <v>1110</v>
      </c>
      <c r="J365" s="268" t="s">
        <v>101</v>
      </c>
      <c r="K365" s="356"/>
      <c r="L365" s="416"/>
    </row>
    <row r="366" spans="1:15" ht="15">
      <c r="A366" s="352">
        <v>3940</v>
      </c>
      <c r="B366" s="354">
        <v>41520</v>
      </c>
      <c r="C366" s="268" t="s">
        <v>103</v>
      </c>
      <c r="D366" s="424"/>
      <c r="E366" s="413">
        <v>14500</v>
      </c>
      <c r="F366" s="257" t="s">
        <v>938</v>
      </c>
      <c r="G366" s="268" t="s">
        <v>133</v>
      </c>
      <c r="H366" s="355" t="s">
        <v>1072</v>
      </c>
      <c r="I366" s="91" t="s">
        <v>1110</v>
      </c>
      <c r="J366" s="257" t="s">
        <v>984</v>
      </c>
      <c r="K366" s="356"/>
      <c r="L366" s="416"/>
    </row>
    <row r="367" spans="1:15">
      <c r="A367" s="352">
        <v>3802</v>
      </c>
      <c r="B367" s="354">
        <v>41521</v>
      </c>
      <c r="C367" s="257" t="s">
        <v>831</v>
      </c>
      <c r="D367" s="276">
        <v>2096.4299999999998</v>
      </c>
      <c r="E367" s="413">
        <f>D367/6.0121</f>
        <v>348.70178473411949</v>
      </c>
      <c r="F367" s="257" t="s">
        <v>409</v>
      </c>
      <c r="G367" s="91" t="s">
        <v>52</v>
      </c>
      <c r="H367" s="355" t="s">
        <v>118</v>
      </c>
      <c r="I367" s="91" t="s">
        <v>1109</v>
      </c>
      <c r="J367" s="257" t="s">
        <v>832</v>
      </c>
      <c r="K367" s="355" t="s">
        <v>24</v>
      </c>
      <c r="L367" s="416"/>
    </row>
    <row r="368" spans="1:15">
      <c r="A368" s="260">
        <v>3947</v>
      </c>
      <c r="B368" s="265">
        <v>41521</v>
      </c>
      <c r="C368" s="267" t="s">
        <v>1032</v>
      </c>
      <c r="D368" s="262">
        <v>900</v>
      </c>
      <c r="E368" s="413">
        <v>149.69999999999999</v>
      </c>
      <c r="F368" s="267" t="s">
        <v>469</v>
      </c>
      <c r="G368" s="267" t="s">
        <v>108</v>
      </c>
      <c r="H368" s="355" t="s">
        <v>1071</v>
      </c>
      <c r="I368" s="91" t="s">
        <v>1110</v>
      </c>
      <c r="J368" s="267" t="s">
        <v>894</v>
      </c>
      <c r="K368" s="356" t="s">
        <v>29</v>
      </c>
      <c r="L368" s="416" t="s">
        <v>402</v>
      </c>
      <c r="M368" s="267" t="s">
        <v>402</v>
      </c>
      <c r="N368" s="374" t="s">
        <v>402</v>
      </c>
      <c r="O368" s="218"/>
    </row>
    <row r="369" spans="1:15">
      <c r="A369" s="352">
        <v>3878</v>
      </c>
      <c r="B369" s="354">
        <v>41521</v>
      </c>
      <c r="C369" s="257" t="s">
        <v>830</v>
      </c>
      <c r="D369" s="276">
        <v>158</v>
      </c>
      <c r="E369" s="413">
        <f>D369/6.0121</f>
        <v>26.280334658438814</v>
      </c>
      <c r="F369" s="257" t="s">
        <v>264</v>
      </c>
      <c r="G369" s="91" t="s">
        <v>114</v>
      </c>
      <c r="H369" s="355" t="s">
        <v>1071</v>
      </c>
      <c r="I369" s="268" t="s">
        <v>1109</v>
      </c>
      <c r="J369" s="268" t="s">
        <v>101</v>
      </c>
      <c r="K369" s="356" t="s">
        <v>29</v>
      </c>
      <c r="L369" s="416"/>
    </row>
    <row r="370" spans="1:15">
      <c r="A370" s="352">
        <v>3945</v>
      </c>
      <c r="B370" s="354">
        <v>41521</v>
      </c>
      <c r="C370" s="257" t="s">
        <v>1143</v>
      </c>
      <c r="D370" s="276">
        <v>4500</v>
      </c>
      <c r="E370" s="413">
        <f>D370/6.0121</f>
        <v>748.49054406945993</v>
      </c>
      <c r="F370" s="257" t="s">
        <v>183</v>
      </c>
      <c r="G370" s="92" t="s">
        <v>111</v>
      </c>
      <c r="H370" s="356" t="s">
        <v>119</v>
      </c>
      <c r="I370" s="91" t="s">
        <v>1110</v>
      </c>
      <c r="J370" s="91" t="s">
        <v>291</v>
      </c>
      <c r="K370" s="355"/>
      <c r="L370" s="416"/>
    </row>
    <row r="371" spans="1:15">
      <c r="A371" s="352">
        <v>3944</v>
      </c>
      <c r="B371" s="354">
        <v>41521</v>
      </c>
      <c r="C371" s="257" t="s">
        <v>1153</v>
      </c>
      <c r="D371" s="276">
        <v>4500</v>
      </c>
      <c r="E371" s="413">
        <f>D371/6.0121</f>
        <v>748.49054406945993</v>
      </c>
      <c r="F371" s="257" t="s">
        <v>182</v>
      </c>
      <c r="G371" s="92" t="s">
        <v>111</v>
      </c>
      <c r="H371" s="356" t="s">
        <v>119</v>
      </c>
      <c r="I371" s="91" t="s">
        <v>1110</v>
      </c>
      <c r="J371" s="91" t="s">
        <v>291</v>
      </c>
      <c r="K371" s="355"/>
      <c r="L371" s="416"/>
    </row>
    <row r="372" spans="1:15">
      <c r="A372" s="352">
        <v>3943</v>
      </c>
      <c r="B372" s="354">
        <v>41521</v>
      </c>
      <c r="C372" s="257" t="s">
        <v>1166</v>
      </c>
      <c r="D372" s="276">
        <v>12000</v>
      </c>
      <c r="E372" s="413">
        <f>D372/6.0121</f>
        <v>1995.9747841852263</v>
      </c>
      <c r="F372" s="257" t="s">
        <v>184</v>
      </c>
      <c r="G372" s="92" t="s">
        <v>111</v>
      </c>
      <c r="H372" s="356" t="s">
        <v>119</v>
      </c>
      <c r="I372" s="91" t="s">
        <v>1110</v>
      </c>
      <c r="J372" s="91" t="s">
        <v>291</v>
      </c>
      <c r="K372" s="355"/>
      <c r="L372" s="416"/>
      <c r="O372" s="269"/>
    </row>
    <row r="373" spans="1:15" ht="15">
      <c r="A373" s="352">
        <v>3901</v>
      </c>
      <c r="B373" s="354">
        <v>41521</v>
      </c>
      <c r="C373" s="257" t="s">
        <v>829</v>
      </c>
      <c r="D373" s="424"/>
      <c r="E373" s="413">
        <v>1711.8</v>
      </c>
      <c r="F373" s="257" t="s">
        <v>754</v>
      </c>
      <c r="G373" s="91" t="s">
        <v>132</v>
      </c>
      <c r="H373" s="355" t="s">
        <v>1071</v>
      </c>
      <c r="I373" s="91" t="s">
        <v>1110</v>
      </c>
      <c r="J373" s="257" t="s">
        <v>102</v>
      </c>
      <c r="K373" s="356" t="s">
        <v>29</v>
      </c>
      <c r="L373" s="416"/>
    </row>
    <row r="374" spans="1:15" ht="15">
      <c r="A374" s="352">
        <v>3899</v>
      </c>
      <c r="B374" s="354">
        <v>41523</v>
      </c>
      <c r="C374" s="257" t="s">
        <v>833</v>
      </c>
      <c r="D374" s="424"/>
      <c r="E374" s="413">
        <v>30.71</v>
      </c>
      <c r="F374" s="257" t="s">
        <v>491</v>
      </c>
      <c r="G374" s="257" t="s">
        <v>111</v>
      </c>
      <c r="H374" s="355" t="s">
        <v>1071</v>
      </c>
      <c r="I374" s="91" t="s">
        <v>1110</v>
      </c>
      <c r="J374" s="257" t="s">
        <v>102</v>
      </c>
      <c r="K374" s="356" t="s">
        <v>36</v>
      </c>
      <c r="L374" s="416"/>
    </row>
    <row r="375" spans="1:15">
      <c r="A375" s="352">
        <v>3855</v>
      </c>
      <c r="B375" s="354">
        <v>41524</v>
      </c>
      <c r="C375" s="257" t="s">
        <v>836</v>
      </c>
      <c r="D375" s="276">
        <v>58</v>
      </c>
      <c r="E375" s="413">
        <f t="shared" ref="E375:E383" si="5">D375/6.0121</f>
        <v>9.6472114568952616</v>
      </c>
      <c r="F375" s="257" t="s">
        <v>403</v>
      </c>
      <c r="G375" s="91" t="s">
        <v>132</v>
      </c>
      <c r="H375" s="356" t="s">
        <v>119</v>
      </c>
      <c r="I375" s="91" t="s">
        <v>1110</v>
      </c>
      <c r="J375" s="257" t="s">
        <v>188</v>
      </c>
      <c r="K375" s="355"/>
      <c r="L375" s="416"/>
    </row>
    <row r="376" spans="1:15">
      <c r="A376" s="352">
        <v>3856</v>
      </c>
      <c r="B376" s="354">
        <v>41524</v>
      </c>
      <c r="C376" s="257" t="s">
        <v>835</v>
      </c>
      <c r="D376" s="276">
        <v>221</v>
      </c>
      <c r="E376" s="413">
        <f t="shared" si="5"/>
        <v>36.759202275411255</v>
      </c>
      <c r="F376" s="257" t="s">
        <v>783</v>
      </c>
      <c r="G376" s="91" t="s">
        <v>132</v>
      </c>
      <c r="H376" s="356" t="s">
        <v>119</v>
      </c>
      <c r="I376" s="268" t="s">
        <v>1109</v>
      </c>
      <c r="J376" s="257" t="s">
        <v>188</v>
      </c>
      <c r="K376" s="355"/>
      <c r="L376" s="416"/>
    </row>
    <row r="377" spans="1:15">
      <c r="A377" s="352">
        <v>3861</v>
      </c>
      <c r="B377" s="354">
        <v>41524</v>
      </c>
      <c r="C377" s="257" t="s">
        <v>834</v>
      </c>
      <c r="D377" s="276">
        <v>57</v>
      </c>
      <c r="E377" s="413">
        <f t="shared" si="5"/>
        <v>9.4808802248798258</v>
      </c>
      <c r="F377" s="257" t="s">
        <v>264</v>
      </c>
      <c r="G377" s="268" t="s">
        <v>106</v>
      </c>
      <c r="H377" s="356" t="s">
        <v>119</v>
      </c>
      <c r="I377" s="91" t="s">
        <v>1110</v>
      </c>
      <c r="J377" s="268" t="s">
        <v>101</v>
      </c>
      <c r="K377" s="356"/>
      <c r="L377" s="416"/>
    </row>
    <row r="378" spans="1:15">
      <c r="A378" s="352">
        <v>3804</v>
      </c>
      <c r="B378" s="354">
        <v>41526</v>
      </c>
      <c r="C378" s="257" t="s">
        <v>942</v>
      </c>
      <c r="D378" s="276">
        <v>238.32</v>
      </c>
      <c r="E378" s="413">
        <f t="shared" si="5"/>
        <v>39.640059213918597</v>
      </c>
      <c r="F378" s="257" t="s">
        <v>409</v>
      </c>
      <c r="G378" s="91" t="s">
        <v>52</v>
      </c>
      <c r="H378" s="355" t="s">
        <v>118</v>
      </c>
      <c r="I378" s="91" t="s">
        <v>1109</v>
      </c>
      <c r="J378" s="257" t="s">
        <v>832</v>
      </c>
      <c r="K378" s="355" t="s">
        <v>24</v>
      </c>
      <c r="L378" s="416"/>
    </row>
    <row r="379" spans="1:15">
      <c r="A379" s="352">
        <v>3803</v>
      </c>
      <c r="B379" s="354">
        <v>41526</v>
      </c>
      <c r="C379" s="257" t="s">
        <v>943</v>
      </c>
      <c r="D379" s="276">
        <v>216.22</v>
      </c>
      <c r="E379" s="413">
        <f t="shared" si="5"/>
        <v>35.964138986377471</v>
      </c>
      <c r="F379" s="257" t="s">
        <v>409</v>
      </c>
      <c r="G379" s="91" t="s">
        <v>52</v>
      </c>
      <c r="H379" s="355" t="s">
        <v>118</v>
      </c>
      <c r="I379" s="91" t="s">
        <v>1109</v>
      </c>
      <c r="J379" s="257" t="s">
        <v>832</v>
      </c>
      <c r="K379" s="355" t="s">
        <v>24</v>
      </c>
      <c r="L379" s="416"/>
    </row>
    <row r="380" spans="1:15">
      <c r="A380" s="352">
        <v>3806</v>
      </c>
      <c r="B380" s="354">
        <v>41528</v>
      </c>
      <c r="C380" s="257" t="s">
        <v>948</v>
      </c>
      <c r="D380" s="276">
        <v>480</v>
      </c>
      <c r="E380" s="413">
        <f t="shared" si="5"/>
        <v>79.838991367409051</v>
      </c>
      <c r="F380" s="257" t="s">
        <v>270</v>
      </c>
      <c r="G380" s="91" t="s">
        <v>52</v>
      </c>
      <c r="H380" s="355" t="s">
        <v>118</v>
      </c>
      <c r="I380" s="91" t="s">
        <v>1109</v>
      </c>
      <c r="J380" s="257" t="s">
        <v>832</v>
      </c>
      <c r="K380" s="355" t="s">
        <v>24</v>
      </c>
      <c r="L380" s="416"/>
    </row>
    <row r="381" spans="1:15">
      <c r="A381" s="352">
        <v>3807</v>
      </c>
      <c r="B381" s="354">
        <v>41528</v>
      </c>
      <c r="C381" s="257" t="s">
        <v>947</v>
      </c>
      <c r="D381" s="276">
        <v>480</v>
      </c>
      <c r="E381" s="413">
        <f t="shared" si="5"/>
        <v>79.838991367409051</v>
      </c>
      <c r="F381" s="257" t="s">
        <v>270</v>
      </c>
      <c r="G381" s="91" t="s">
        <v>52</v>
      </c>
      <c r="H381" s="355" t="s">
        <v>1071</v>
      </c>
      <c r="I381" s="91" t="s">
        <v>1109</v>
      </c>
      <c r="J381" s="257" t="s">
        <v>832</v>
      </c>
      <c r="K381" s="356" t="s">
        <v>32</v>
      </c>
      <c r="L381" s="416"/>
    </row>
    <row r="382" spans="1:15">
      <c r="A382" s="352">
        <v>3808</v>
      </c>
      <c r="B382" s="354">
        <v>41528</v>
      </c>
      <c r="C382" s="257" t="s">
        <v>946</v>
      </c>
      <c r="D382" s="276">
        <v>955.68</v>
      </c>
      <c r="E382" s="413">
        <f t="shared" si="5"/>
        <v>158.95943181251141</v>
      </c>
      <c r="F382" s="257" t="s">
        <v>303</v>
      </c>
      <c r="G382" s="91" t="s">
        <v>116</v>
      </c>
      <c r="H382" s="355" t="s">
        <v>118</v>
      </c>
      <c r="I382" s="91" t="s">
        <v>1109</v>
      </c>
      <c r="J382" s="257" t="s">
        <v>832</v>
      </c>
      <c r="K382" s="355" t="s">
        <v>23</v>
      </c>
      <c r="L382" s="416"/>
    </row>
    <row r="383" spans="1:15">
      <c r="A383" s="352">
        <v>3805</v>
      </c>
      <c r="B383" s="354">
        <v>41528</v>
      </c>
      <c r="C383" s="257" t="s">
        <v>558</v>
      </c>
      <c r="D383" s="276">
        <v>471.56</v>
      </c>
      <c r="E383" s="413">
        <f t="shared" si="5"/>
        <v>78.435155769198786</v>
      </c>
      <c r="F383" s="257" t="s">
        <v>181</v>
      </c>
      <c r="G383" s="91" t="s">
        <v>114</v>
      </c>
      <c r="H383" s="355" t="s">
        <v>118</v>
      </c>
      <c r="I383" s="91" t="s">
        <v>1109</v>
      </c>
      <c r="J383" s="257" t="s">
        <v>832</v>
      </c>
      <c r="K383" s="355" t="s">
        <v>23</v>
      </c>
      <c r="L383" s="416"/>
    </row>
    <row r="384" spans="1:15" ht="15">
      <c r="A384" s="352">
        <v>3906</v>
      </c>
      <c r="B384" s="354">
        <v>41528</v>
      </c>
      <c r="C384" s="257" t="s">
        <v>944</v>
      </c>
      <c r="D384" s="424"/>
      <c r="E384" s="413">
        <v>20</v>
      </c>
      <c r="F384" s="257" t="s">
        <v>945</v>
      </c>
      <c r="G384" s="91" t="s">
        <v>132</v>
      </c>
      <c r="H384" s="355" t="s">
        <v>1071</v>
      </c>
      <c r="I384" s="91" t="s">
        <v>1110</v>
      </c>
      <c r="J384" s="257" t="s">
        <v>102</v>
      </c>
      <c r="K384" s="356" t="s">
        <v>39</v>
      </c>
      <c r="L384" s="416"/>
    </row>
    <row r="385" spans="1:12">
      <c r="A385" s="352">
        <v>3902</v>
      </c>
      <c r="B385" s="354">
        <v>41529</v>
      </c>
      <c r="C385" s="257" t="s">
        <v>949</v>
      </c>
      <c r="D385" s="276">
        <v>6000</v>
      </c>
      <c r="E385" s="413">
        <f>D385/6.0121</f>
        <v>997.98739209261316</v>
      </c>
      <c r="F385" s="257" t="s">
        <v>651</v>
      </c>
      <c r="G385" s="257" t="s">
        <v>111</v>
      </c>
      <c r="H385" s="356" t="s">
        <v>119</v>
      </c>
      <c r="I385" s="91" t="s">
        <v>1110</v>
      </c>
      <c r="J385" s="268" t="s">
        <v>894</v>
      </c>
      <c r="K385" s="356"/>
      <c r="L385" s="416"/>
    </row>
    <row r="386" spans="1:12" ht="15">
      <c r="A386" s="352">
        <v>3907</v>
      </c>
      <c r="B386" s="354">
        <v>41530</v>
      </c>
      <c r="C386" s="257" t="s">
        <v>950</v>
      </c>
      <c r="D386" s="424"/>
      <c r="E386" s="413">
        <v>23</v>
      </c>
      <c r="F386" s="257" t="s">
        <v>857</v>
      </c>
      <c r="G386" s="91" t="s">
        <v>132</v>
      </c>
      <c r="H386" s="355" t="s">
        <v>1071</v>
      </c>
      <c r="I386" s="91" t="s">
        <v>1110</v>
      </c>
      <c r="J386" s="257" t="s">
        <v>102</v>
      </c>
      <c r="K386" s="356" t="s">
        <v>39</v>
      </c>
      <c r="L386" s="416"/>
    </row>
    <row r="387" spans="1:12">
      <c r="A387" s="352">
        <v>3809</v>
      </c>
      <c r="B387" s="354">
        <v>41531</v>
      </c>
      <c r="C387" s="257" t="s">
        <v>186</v>
      </c>
      <c r="D387" s="276">
        <v>173.6</v>
      </c>
      <c r="E387" s="413">
        <f>D387/6.0121</f>
        <v>28.875101877879608</v>
      </c>
      <c r="F387" s="257" t="s">
        <v>302</v>
      </c>
      <c r="G387" s="91" t="s">
        <v>114</v>
      </c>
      <c r="H387" s="355" t="s">
        <v>1071</v>
      </c>
      <c r="I387" s="91" t="s">
        <v>1109</v>
      </c>
      <c r="J387" s="257" t="s">
        <v>832</v>
      </c>
      <c r="K387" s="356" t="s">
        <v>29</v>
      </c>
      <c r="L387" s="416"/>
    </row>
    <row r="388" spans="1:12">
      <c r="A388" s="352">
        <v>3873</v>
      </c>
      <c r="B388" s="354">
        <v>41532</v>
      </c>
      <c r="C388" s="257" t="s">
        <v>733</v>
      </c>
      <c r="D388" s="276">
        <v>289</v>
      </c>
      <c r="E388" s="413">
        <f>D388/6.0121</f>
        <v>48.069726052460872</v>
      </c>
      <c r="F388" s="257" t="s">
        <v>852</v>
      </c>
      <c r="G388" s="91" t="s">
        <v>114</v>
      </c>
      <c r="H388" s="355" t="s">
        <v>1071</v>
      </c>
      <c r="I388" s="268" t="s">
        <v>1109</v>
      </c>
      <c r="J388" s="257" t="s">
        <v>188</v>
      </c>
      <c r="K388" s="356" t="s">
        <v>29</v>
      </c>
      <c r="L388" s="416"/>
    </row>
    <row r="389" spans="1:12" ht="15">
      <c r="A389" s="352">
        <v>3897</v>
      </c>
      <c r="B389" s="354">
        <v>41532</v>
      </c>
      <c r="C389" s="257" t="s">
        <v>862</v>
      </c>
      <c r="D389" s="424"/>
      <c r="E389" s="413">
        <v>71.55</v>
      </c>
      <c r="F389" s="257" t="s">
        <v>863</v>
      </c>
      <c r="G389" s="91" t="s">
        <v>132</v>
      </c>
      <c r="H389" s="355" t="s">
        <v>1071</v>
      </c>
      <c r="I389" s="91" t="s">
        <v>1110</v>
      </c>
      <c r="J389" s="257" t="s">
        <v>102</v>
      </c>
      <c r="K389" s="356" t="s">
        <v>39</v>
      </c>
      <c r="L389" s="416"/>
    </row>
    <row r="390" spans="1:12" ht="15">
      <c r="A390" s="352">
        <v>3910</v>
      </c>
      <c r="B390" s="354">
        <v>41532</v>
      </c>
      <c r="C390" s="257" t="s">
        <v>858</v>
      </c>
      <c r="D390" s="424"/>
      <c r="E390" s="413">
        <v>36</v>
      </c>
      <c r="F390" s="257" t="s">
        <v>825</v>
      </c>
      <c r="G390" s="91" t="s">
        <v>132</v>
      </c>
      <c r="H390" s="355" t="s">
        <v>1071</v>
      </c>
      <c r="I390" s="91" t="s">
        <v>1110</v>
      </c>
      <c r="J390" s="257" t="s">
        <v>102</v>
      </c>
      <c r="K390" s="356" t="s">
        <v>39</v>
      </c>
      <c r="L390" s="416"/>
    </row>
    <row r="391" spans="1:12" ht="15">
      <c r="A391" s="352">
        <v>3908</v>
      </c>
      <c r="B391" s="354">
        <v>41532</v>
      </c>
      <c r="C391" s="257" t="s">
        <v>861</v>
      </c>
      <c r="D391" s="424"/>
      <c r="E391" s="413">
        <v>20</v>
      </c>
      <c r="F391" s="257" t="s">
        <v>945</v>
      </c>
      <c r="G391" s="91" t="s">
        <v>132</v>
      </c>
      <c r="H391" s="355" t="s">
        <v>1071</v>
      </c>
      <c r="I391" s="91" t="s">
        <v>1110</v>
      </c>
      <c r="J391" s="257" t="s">
        <v>102</v>
      </c>
      <c r="K391" s="356" t="s">
        <v>39</v>
      </c>
      <c r="L391" s="416"/>
    </row>
    <row r="392" spans="1:12" ht="15">
      <c r="A392" s="352">
        <v>3909</v>
      </c>
      <c r="B392" s="354">
        <v>41532</v>
      </c>
      <c r="C392" s="257" t="s">
        <v>859</v>
      </c>
      <c r="D392" s="424"/>
      <c r="E392" s="413">
        <v>37.880000000000003</v>
      </c>
      <c r="F392" s="257" t="s">
        <v>860</v>
      </c>
      <c r="G392" s="257" t="s">
        <v>106</v>
      </c>
      <c r="H392" s="355" t="s">
        <v>1071</v>
      </c>
      <c r="I392" s="91" t="s">
        <v>1110</v>
      </c>
      <c r="J392" s="257" t="s">
        <v>102</v>
      </c>
      <c r="K392" s="355" t="s">
        <v>34</v>
      </c>
      <c r="L392" s="416"/>
    </row>
    <row r="393" spans="1:12" ht="15">
      <c r="A393" s="352">
        <v>3911</v>
      </c>
      <c r="B393" s="354">
        <v>41533</v>
      </c>
      <c r="C393" s="257" t="s">
        <v>855</v>
      </c>
      <c r="D393" s="424"/>
      <c r="E393" s="413">
        <v>42.11</v>
      </c>
      <c r="F393" s="257" t="s">
        <v>856</v>
      </c>
      <c r="G393" s="91" t="s">
        <v>132</v>
      </c>
      <c r="H393" s="355" t="s">
        <v>1071</v>
      </c>
      <c r="I393" s="91" t="s">
        <v>1110</v>
      </c>
      <c r="J393" s="257" t="s">
        <v>102</v>
      </c>
      <c r="K393" s="356" t="s">
        <v>39</v>
      </c>
      <c r="L393" s="416"/>
    </row>
    <row r="394" spans="1:12" ht="15">
      <c r="A394" s="352">
        <v>3913</v>
      </c>
      <c r="B394" s="354">
        <v>41533</v>
      </c>
      <c r="C394" s="257" t="s">
        <v>853</v>
      </c>
      <c r="D394" s="424"/>
      <c r="E394" s="413">
        <v>507.8</v>
      </c>
      <c r="F394" s="257" t="s">
        <v>754</v>
      </c>
      <c r="G394" s="91" t="s">
        <v>132</v>
      </c>
      <c r="H394" s="355" t="s">
        <v>1071</v>
      </c>
      <c r="I394" s="91" t="s">
        <v>1110</v>
      </c>
      <c r="J394" s="257" t="s">
        <v>102</v>
      </c>
      <c r="K394" s="356" t="s">
        <v>39</v>
      </c>
      <c r="L394" s="416"/>
    </row>
    <row r="395" spans="1:12" ht="15">
      <c r="A395" s="352">
        <v>3912</v>
      </c>
      <c r="B395" s="354">
        <v>41533</v>
      </c>
      <c r="C395" s="257" t="s">
        <v>854</v>
      </c>
      <c r="D395" s="424"/>
      <c r="E395" s="413">
        <v>390.8</v>
      </c>
      <c r="F395" s="257" t="s">
        <v>754</v>
      </c>
      <c r="G395" s="91" t="s">
        <v>132</v>
      </c>
      <c r="H395" s="355" t="s">
        <v>1071</v>
      </c>
      <c r="I395" s="91" t="s">
        <v>1110</v>
      </c>
      <c r="J395" s="257" t="s">
        <v>102</v>
      </c>
      <c r="K395" s="356" t="s">
        <v>39</v>
      </c>
      <c r="L395" s="416"/>
    </row>
    <row r="396" spans="1:12">
      <c r="A396" s="352">
        <v>3879</v>
      </c>
      <c r="B396" s="354">
        <v>41534</v>
      </c>
      <c r="C396" s="257" t="s">
        <v>513</v>
      </c>
      <c r="D396" s="276">
        <v>75</v>
      </c>
      <c r="E396" s="413">
        <f>D396/6.0121</f>
        <v>12.474842401157664</v>
      </c>
      <c r="F396" s="257" t="s">
        <v>403</v>
      </c>
      <c r="G396" s="91" t="s">
        <v>114</v>
      </c>
      <c r="H396" s="355" t="s">
        <v>1071</v>
      </c>
      <c r="I396" s="91" t="s">
        <v>1110</v>
      </c>
      <c r="J396" s="268" t="s">
        <v>188</v>
      </c>
      <c r="K396" s="356" t="s">
        <v>34</v>
      </c>
      <c r="L396" s="416"/>
    </row>
    <row r="397" spans="1:12" ht="15">
      <c r="A397" s="352">
        <v>3914</v>
      </c>
      <c r="B397" s="354">
        <v>41534</v>
      </c>
      <c r="C397" s="257" t="s">
        <v>758</v>
      </c>
      <c r="D397" s="424"/>
      <c r="E397" s="413">
        <v>184.73</v>
      </c>
      <c r="F397" s="257" t="s">
        <v>759</v>
      </c>
      <c r="G397" s="91" t="s">
        <v>132</v>
      </c>
      <c r="H397" s="355" t="s">
        <v>1071</v>
      </c>
      <c r="I397" s="91" t="s">
        <v>1110</v>
      </c>
      <c r="J397" s="257" t="s">
        <v>102</v>
      </c>
      <c r="K397" s="356" t="s">
        <v>39</v>
      </c>
      <c r="L397" s="416"/>
    </row>
    <row r="398" spans="1:12" ht="15">
      <c r="A398" s="352">
        <v>3915</v>
      </c>
      <c r="B398" s="354">
        <v>41536</v>
      </c>
      <c r="C398" s="257" t="s">
        <v>862</v>
      </c>
      <c r="D398" s="424"/>
      <c r="E398" s="413">
        <v>99.79</v>
      </c>
      <c r="F398" s="257" t="s">
        <v>863</v>
      </c>
      <c r="G398" s="91" t="s">
        <v>132</v>
      </c>
      <c r="H398" s="355" t="s">
        <v>1071</v>
      </c>
      <c r="I398" s="91" t="s">
        <v>1110</v>
      </c>
      <c r="J398" s="257" t="s">
        <v>102</v>
      </c>
      <c r="K398" s="356" t="s">
        <v>39</v>
      </c>
      <c r="L398" s="416"/>
    </row>
    <row r="399" spans="1:12" ht="15">
      <c r="A399" s="352">
        <v>3917</v>
      </c>
      <c r="B399" s="354">
        <v>41537</v>
      </c>
      <c r="C399" s="257" t="s">
        <v>762</v>
      </c>
      <c r="D399" s="424"/>
      <c r="E399" s="413">
        <v>109</v>
      </c>
      <c r="F399" s="257" t="s">
        <v>763</v>
      </c>
      <c r="G399" s="91" t="s">
        <v>132</v>
      </c>
      <c r="H399" s="355" t="s">
        <v>1071</v>
      </c>
      <c r="I399" s="91" t="s">
        <v>1110</v>
      </c>
      <c r="J399" s="257" t="s">
        <v>102</v>
      </c>
      <c r="K399" s="356" t="s">
        <v>39</v>
      </c>
      <c r="L399" s="416"/>
    </row>
    <row r="400" spans="1:12" ht="15">
      <c r="A400" s="352">
        <v>3918</v>
      </c>
      <c r="B400" s="354">
        <v>41537</v>
      </c>
      <c r="C400" s="257" t="s">
        <v>760</v>
      </c>
      <c r="D400" s="424"/>
      <c r="E400" s="413">
        <v>40</v>
      </c>
      <c r="F400" s="257" t="s">
        <v>761</v>
      </c>
      <c r="G400" s="91" t="s">
        <v>132</v>
      </c>
      <c r="H400" s="355" t="s">
        <v>1071</v>
      </c>
      <c r="I400" s="91" t="s">
        <v>1110</v>
      </c>
      <c r="J400" s="257" t="s">
        <v>102</v>
      </c>
      <c r="K400" s="356" t="s">
        <v>39</v>
      </c>
      <c r="L400" s="416"/>
    </row>
    <row r="401" spans="1:12" ht="15">
      <c r="A401" s="352">
        <v>3916</v>
      </c>
      <c r="B401" s="354">
        <v>41537</v>
      </c>
      <c r="C401" s="257" t="s">
        <v>764</v>
      </c>
      <c r="D401" s="424"/>
      <c r="E401" s="413">
        <v>30.4</v>
      </c>
      <c r="F401" s="257" t="s">
        <v>765</v>
      </c>
      <c r="G401" s="91" t="s">
        <v>132</v>
      </c>
      <c r="H401" s="355" t="s">
        <v>1071</v>
      </c>
      <c r="I401" s="91" t="s">
        <v>1110</v>
      </c>
      <c r="J401" s="257" t="s">
        <v>102</v>
      </c>
      <c r="K401" s="355" t="s">
        <v>29</v>
      </c>
      <c r="L401" s="416"/>
    </row>
    <row r="402" spans="1:12" ht="15">
      <c r="A402" s="352">
        <v>3858</v>
      </c>
      <c r="B402" s="354">
        <v>41537</v>
      </c>
      <c r="C402" s="257" t="s">
        <v>766</v>
      </c>
      <c r="D402" s="424"/>
      <c r="E402" s="413">
        <v>158.31</v>
      </c>
      <c r="F402" s="257" t="s">
        <v>767</v>
      </c>
      <c r="G402" s="268" t="s">
        <v>106</v>
      </c>
      <c r="H402" s="356" t="s">
        <v>119</v>
      </c>
      <c r="I402" s="91" t="s">
        <v>1110</v>
      </c>
      <c r="J402" s="268" t="s">
        <v>105</v>
      </c>
      <c r="K402" s="356"/>
      <c r="L402" s="416"/>
    </row>
    <row r="403" spans="1:12" ht="15">
      <c r="A403" s="352">
        <v>3920</v>
      </c>
      <c r="B403" s="354">
        <v>41539</v>
      </c>
      <c r="C403" s="257" t="s">
        <v>768</v>
      </c>
      <c r="D403" s="424"/>
      <c r="E403" s="413">
        <v>1261.5999999999999</v>
      </c>
      <c r="F403" s="257" t="s">
        <v>754</v>
      </c>
      <c r="G403" s="91" t="s">
        <v>132</v>
      </c>
      <c r="H403" s="355" t="s">
        <v>1071</v>
      </c>
      <c r="I403" s="91" t="s">
        <v>1110</v>
      </c>
      <c r="J403" s="257" t="s">
        <v>102</v>
      </c>
      <c r="K403" s="356" t="s">
        <v>39</v>
      </c>
      <c r="L403" s="416"/>
    </row>
    <row r="404" spans="1:12" ht="15">
      <c r="A404" s="352">
        <v>3919</v>
      </c>
      <c r="B404" s="354">
        <v>41539</v>
      </c>
      <c r="C404" s="257" t="s">
        <v>769</v>
      </c>
      <c r="D404" s="424"/>
      <c r="E404" s="413">
        <v>32</v>
      </c>
      <c r="F404" s="257" t="s">
        <v>721</v>
      </c>
      <c r="G404" s="91" t="s">
        <v>132</v>
      </c>
      <c r="H404" s="355" t="s">
        <v>1071</v>
      </c>
      <c r="I404" s="91" t="s">
        <v>1110</v>
      </c>
      <c r="J404" s="257" t="s">
        <v>102</v>
      </c>
      <c r="K404" s="355" t="s">
        <v>29</v>
      </c>
      <c r="L404" s="416"/>
    </row>
    <row r="405" spans="1:12">
      <c r="A405" s="352">
        <v>3816</v>
      </c>
      <c r="B405" s="354">
        <v>41539</v>
      </c>
      <c r="C405" s="257" t="s">
        <v>770</v>
      </c>
      <c r="D405" s="276">
        <v>314</v>
      </c>
      <c r="E405" s="413">
        <f>D405/6.0121</f>
        <v>52.228006852846754</v>
      </c>
      <c r="F405" s="257" t="s">
        <v>264</v>
      </c>
      <c r="G405" s="268" t="s">
        <v>106</v>
      </c>
      <c r="H405" s="356" t="s">
        <v>119</v>
      </c>
      <c r="I405" s="268" t="s">
        <v>1109</v>
      </c>
      <c r="J405" s="257" t="s">
        <v>188</v>
      </c>
      <c r="K405" s="356"/>
      <c r="L405" s="416"/>
    </row>
    <row r="406" spans="1:12" ht="15">
      <c r="A406" s="352">
        <v>3921</v>
      </c>
      <c r="B406" s="354">
        <v>41540</v>
      </c>
      <c r="C406" s="257" t="s">
        <v>771</v>
      </c>
      <c r="D406" s="424"/>
      <c r="E406" s="413">
        <v>8.5</v>
      </c>
      <c r="F406" s="257" t="s">
        <v>721</v>
      </c>
      <c r="G406" s="91" t="s">
        <v>132</v>
      </c>
      <c r="H406" s="355" t="s">
        <v>1071</v>
      </c>
      <c r="I406" s="91" t="s">
        <v>1110</v>
      </c>
      <c r="J406" s="257" t="s">
        <v>102</v>
      </c>
      <c r="K406" s="355" t="s">
        <v>29</v>
      </c>
      <c r="L406" s="416"/>
    </row>
    <row r="407" spans="1:12">
      <c r="A407" s="352">
        <v>3814</v>
      </c>
      <c r="B407" s="354">
        <v>41540</v>
      </c>
      <c r="C407" s="257" t="s">
        <v>880</v>
      </c>
      <c r="D407" s="276">
        <v>242</v>
      </c>
      <c r="E407" s="413">
        <f t="shared" ref="E407:E428" si="6">D407/6.0121</f>
        <v>40.2521581477354</v>
      </c>
      <c r="F407" s="257" t="s">
        <v>609</v>
      </c>
      <c r="G407" s="268" t="s">
        <v>106</v>
      </c>
      <c r="H407" s="356" t="s">
        <v>119</v>
      </c>
      <c r="I407" s="268" t="s">
        <v>1109</v>
      </c>
      <c r="J407" s="257" t="s">
        <v>188</v>
      </c>
      <c r="K407" s="356"/>
      <c r="L407" s="416"/>
    </row>
    <row r="408" spans="1:12">
      <c r="A408" s="352">
        <v>3818</v>
      </c>
      <c r="B408" s="354">
        <v>41540</v>
      </c>
      <c r="C408" s="257" t="s">
        <v>878</v>
      </c>
      <c r="D408" s="276">
        <v>370</v>
      </c>
      <c r="E408" s="413">
        <f t="shared" si="6"/>
        <v>61.542555845711149</v>
      </c>
      <c r="F408" s="257" t="s">
        <v>264</v>
      </c>
      <c r="G408" s="268" t="s">
        <v>106</v>
      </c>
      <c r="H408" s="356" t="s">
        <v>119</v>
      </c>
      <c r="I408" s="91" t="s">
        <v>1110</v>
      </c>
      <c r="J408" s="257" t="s">
        <v>188</v>
      </c>
      <c r="K408" s="356"/>
      <c r="L408" s="416"/>
    </row>
    <row r="409" spans="1:12">
      <c r="A409" s="352">
        <v>3823</v>
      </c>
      <c r="B409" s="354">
        <v>41540</v>
      </c>
      <c r="C409" s="257" t="s">
        <v>876</v>
      </c>
      <c r="D409" s="276">
        <v>700</v>
      </c>
      <c r="E409" s="413">
        <f t="shared" si="6"/>
        <v>116.43186241080487</v>
      </c>
      <c r="F409" s="257" t="s">
        <v>877</v>
      </c>
      <c r="G409" s="268" t="s">
        <v>106</v>
      </c>
      <c r="H409" s="356" t="s">
        <v>119</v>
      </c>
      <c r="I409" s="268" t="s">
        <v>1109</v>
      </c>
      <c r="J409" s="257" t="s">
        <v>188</v>
      </c>
      <c r="K409" s="356"/>
      <c r="L409" s="416"/>
    </row>
    <row r="410" spans="1:12">
      <c r="A410" s="352">
        <v>3817</v>
      </c>
      <c r="B410" s="354">
        <v>41540</v>
      </c>
      <c r="C410" s="257" t="s">
        <v>879</v>
      </c>
      <c r="D410" s="276">
        <v>236</v>
      </c>
      <c r="E410" s="413">
        <f t="shared" si="6"/>
        <v>39.254170755642782</v>
      </c>
      <c r="F410" s="257" t="s">
        <v>264</v>
      </c>
      <c r="G410" s="268" t="s">
        <v>106</v>
      </c>
      <c r="H410" s="356" t="s">
        <v>119</v>
      </c>
      <c r="I410" s="91" t="s">
        <v>1110</v>
      </c>
      <c r="J410" s="257" t="s">
        <v>188</v>
      </c>
      <c r="K410" s="356"/>
      <c r="L410" s="416"/>
    </row>
    <row r="411" spans="1:12">
      <c r="A411" s="352">
        <v>3868</v>
      </c>
      <c r="B411" s="354">
        <v>41541</v>
      </c>
      <c r="C411" s="257" t="s">
        <v>513</v>
      </c>
      <c r="D411" s="276">
        <v>50</v>
      </c>
      <c r="E411" s="413">
        <f t="shared" si="6"/>
        <v>8.3165616007717773</v>
      </c>
      <c r="F411" s="257" t="s">
        <v>403</v>
      </c>
      <c r="G411" s="91" t="s">
        <v>114</v>
      </c>
      <c r="H411" s="355" t="s">
        <v>1071</v>
      </c>
      <c r="I411" s="91" t="s">
        <v>1110</v>
      </c>
      <c r="J411" s="257" t="s">
        <v>188</v>
      </c>
      <c r="K411" s="356" t="s">
        <v>34</v>
      </c>
      <c r="L411" s="416"/>
    </row>
    <row r="412" spans="1:12">
      <c r="A412" s="352">
        <v>3880</v>
      </c>
      <c r="B412" s="354">
        <v>41541</v>
      </c>
      <c r="C412" s="257" t="s">
        <v>883</v>
      </c>
      <c r="D412" s="276">
        <v>24</v>
      </c>
      <c r="E412" s="413">
        <f t="shared" si="6"/>
        <v>3.9919495683704529</v>
      </c>
      <c r="F412" s="257" t="s">
        <v>403</v>
      </c>
      <c r="G412" s="268" t="s">
        <v>106</v>
      </c>
      <c r="H412" s="356" t="s">
        <v>119</v>
      </c>
      <c r="I412" s="91" t="s">
        <v>1110</v>
      </c>
      <c r="J412" s="257" t="s">
        <v>188</v>
      </c>
      <c r="K412" s="356"/>
      <c r="L412" s="416"/>
    </row>
    <row r="413" spans="1:12">
      <c r="A413" s="352">
        <v>3882</v>
      </c>
      <c r="B413" s="354">
        <v>41541</v>
      </c>
      <c r="C413" s="257" t="s">
        <v>881</v>
      </c>
      <c r="D413" s="276">
        <v>42</v>
      </c>
      <c r="E413" s="413">
        <f t="shared" si="6"/>
        <v>6.9859117446482921</v>
      </c>
      <c r="F413" s="257" t="s">
        <v>403</v>
      </c>
      <c r="G413" s="268" t="s">
        <v>106</v>
      </c>
      <c r="H413" s="356" t="s">
        <v>119</v>
      </c>
      <c r="I413" s="91" t="s">
        <v>1110</v>
      </c>
      <c r="J413" s="257" t="s">
        <v>188</v>
      </c>
      <c r="K413" s="356"/>
      <c r="L413" s="416"/>
    </row>
    <row r="414" spans="1:12">
      <c r="A414" s="352">
        <v>3881</v>
      </c>
      <c r="B414" s="354">
        <v>41541</v>
      </c>
      <c r="C414" s="257" t="s">
        <v>882</v>
      </c>
      <c r="D414" s="276">
        <v>470</v>
      </c>
      <c r="E414" s="413">
        <f t="shared" si="6"/>
        <v>78.175679047254704</v>
      </c>
      <c r="F414" s="257" t="s">
        <v>403</v>
      </c>
      <c r="G414" s="268" t="s">
        <v>106</v>
      </c>
      <c r="H414" s="356" t="s">
        <v>119</v>
      </c>
      <c r="I414" s="91" t="s">
        <v>1110</v>
      </c>
      <c r="J414" s="257" t="s">
        <v>188</v>
      </c>
      <c r="K414" s="356"/>
      <c r="L414" s="416"/>
    </row>
    <row r="415" spans="1:12">
      <c r="A415" s="352">
        <v>3863</v>
      </c>
      <c r="B415" s="354">
        <v>41541</v>
      </c>
      <c r="C415" s="257" t="s">
        <v>884</v>
      </c>
      <c r="D415" s="276">
        <v>1830</v>
      </c>
      <c r="E415" s="413">
        <f t="shared" si="6"/>
        <v>304.38615458824705</v>
      </c>
      <c r="F415" s="257" t="s">
        <v>641</v>
      </c>
      <c r="G415" s="268" t="s">
        <v>106</v>
      </c>
      <c r="H415" s="356" t="s">
        <v>119</v>
      </c>
      <c r="I415" s="268" t="s">
        <v>1109</v>
      </c>
      <c r="J415" s="257" t="s">
        <v>188</v>
      </c>
      <c r="K415" s="356"/>
      <c r="L415" s="416"/>
    </row>
    <row r="416" spans="1:12">
      <c r="A416" s="352">
        <v>3859</v>
      </c>
      <c r="B416" s="354">
        <v>41541</v>
      </c>
      <c r="C416" s="257" t="s">
        <v>885</v>
      </c>
      <c r="D416" s="276">
        <v>400</v>
      </c>
      <c r="E416" s="413">
        <f t="shared" si="6"/>
        <v>66.532492806174218</v>
      </c>
      <c r="F416" s="257" t="s">
        <v>886</v>
      </c>
      <c r="G416" s="268" t="s">
        <v>106</v>
      </c>
      <c r="H416" s="356" t="s">
        <v>119</v>
      </c>
      <c r="I416" s="91" t="s">
        <v>1110</v>
      </c>
      <c r="J416" s="257" t="s">
        <v>188</v>
      </c>
      <c r="K416" s="356"/>
      <c r="L416" s="416"/>
    </row>
    <row r="417" spans="1:15">
      <c r="A417" s="352">
        <v>3819</v>
      </c>
      <c r="B417" s="354">
        <v>41541</v>
      </c>
      <c r="C417" s="257" t="s">
        <v>887</v>
      </c>
      <c r="D417" s="276">
        <v>900</v>
      </c>
      <c r="E417" s="413">
        <f t="shared" si="6"/>
        <v>149.69810881389199</v>
      </c>
      <c r="F417" s="257" t="s">
        <v>403</v>
      </c>
      <c r="G417" s="268" t="s">
        <v>106</v>
      </c>
      <c r="H417" s="356" t="s">
        <v>119</v>
      </c>
      <c r="I417" s="91" t="s">
        <v>1110</v>
      </c>
      <c r="J417" s="257" t="s">
        <v>188</v>
      </c>
      <c r="K417" s="356"/>
      <c r="L417" s="416"/>
    </row>
    <row r="418" spans="1:15">
      <c r="A418" s="352">
        <v>3815</v>
      </c>
      <c r="B418" s="354">
        <v>41541</v>
      </c>
      <c r="C418" s="257" t="s">
        <v>888</v>
      </c>
      <c r="D418" s="276">
        <v>95</v>
      </c>
      <c r="E418" s="413">
        <f t="shared" si="6"/>
        <v>15.801467041466376</v>
      </c>
      <c r="F418" s="257" t="s">
        <v>403</v>
      </c>
      <c r="G418" s="268" t="s">
        <v>106</v>
      </c>
      <c r="H418" s="356" t="s">
        <v>119</v>
      </c>
      <c r="I418" s="91" t="s">
        <v>1110</v>
      </c>
      <c r="J418" s="257" t="s">
        <v>188</v>
      </c>
      <c r="K418" s="356"/>
      <c r="L418" s="416"/>
    </row>
    <row r="419" spans="1:15">
      <c r="A419" s="352">
        <v>3864</v>
      </c>
      <c r="B419" s="354">
        <v>41542</v>
      </c>
      <c r="C419" s="257" t="s">
        <v>889</v>
      </c>
      <c r="D419" s="276">
        <v>280</v>
      </c>
      <c r="E419" s="413">
        <f t="shared" si="6"/>
        <v>46.572744964321949</v>
      </c>
      <c r="F419" s="257" t="s">
        <v>403</v>
      </c>
      <c r="G419" s="91" t="s">
        <v>114</v>
      </c>
      <c r="H419" s="355" t="s">
        <v>1071</v>
      </c>
      <c r="I419" s="91" t="s">
        <v>1110</v>
      </c>
      <c r="J419" s="257" t="s">
        <v>188</v>
      </c>
      <c r="K419" s="356" t="s">
        <v>29</v>
      </c>
      <c r="L419" s="416"/>
    </row>
    <row r="420" spans="1:15">
      <c r="A420" s="352">
        <v>3828</v>
      </c>
      <c r="B420" s="354">
        <v>41542</v>
      </c>
      <c r="C420" s="257" t="s">
        <v>891</v>
      </c>
      <c r="D420" s="276">
        <v>85</v>
      </c>
      <c r="E420" s="413">
        <f t="shared" si="6"/>
        <v>14.13815472131202</v>
      </c>
      <c r="F420" s="257" t="s">
        <v>877</v>
      </c>
      <c r="G420" s="91" t="s">
        <v>132</v>
      </c>
      <c r="H420" s="356" t="s">
        <v>119</v>
      </c>
      <c r="I420" s="91" t="s">
        <v>1110</v>
      </c>
      <c r="J420" s="257" t="s">
        <v>188</v>
      </c>
      <c r="K420" s="355"/>
      <c r="L420" s="416"/>
    </row>
    <row r="421" spans="1:15">
      <c r="A421" s="352">
        <v>3839</v>
      </c>
      <c r="B421" s="354">
        <v>41542</v>
      </c>
      <c r="C421" s="257" t="s">
        <v>890</v>
      </c>
      <c r="D421" s="276">
        <v>553</v>
      </c>
      <c r="E421" s="413">
        <f t="shared" si="6"/>
        <v>91.981171304535849</v>
      </c>
      <c r="F421" s="257" t="s">
        <v>559</v>
      </c>
      <c r="G421" s="91" t="s">
        <v>132</v>
      </c>
      <c r="H421" s="356" t="s">
        <v>119</v>
      </c>
      <c r="I421" s="268" t="s">
        <v>1109</v>
      </c>
      <c r="J421" s="257" t="s">
        <v>188</v>
      </c>
      <c r="K421" s="356"/>
      <c r="L421" s="416"/>
    </row>
    <row r="422" spans="1:15">
      <c r="A422" s="352">
        <v>3825</v>
      </c>
      <c r="B422" s="354">
        <v>41542</v>
      </c>
      <c r="C422" s="257" t="s">
        <v>892</v>
      </c>
      <c r="D422" s="276">
        <v>66</v>
      </c>
      <c r="E422" s="413">
        <f t="shared" si="6"/>
        <v>10.977861313018746</v>
      </c>
      <c r="F422" s="257" t="s">
        <v>179</v>
      </c>
      <c r="G422" s="91" t="s">
        <v>132</v>
      </c>
      <c r="H422" s="356" t="s">
        <v>119</v>
      </c>
      <c r="I422" s="268" t="s">
        <v>1109</v>
      </c>
      <c r="J422" s="257" t="s">
        <v>188</v>
      </c>
      <c r="K422" s="355"/>
      <c r="L422" s="416"/>
    </row>
    <row r="423" spans="1:15">
      <c r="A423" s="352">
        <v>3820</v>
      </c>
      <c r="B423" s="354">
        <v>41542</v>
      </c>
      <c r="C423" s="257" t="s">
        <v>993</v>
      </c>
      <c r="D423" s="276">
        <v>68</v>
      </c>
      <c r="E423" s="413">
        <f t="shared" si="6"/>
        <v>11.310523777049616</v>
      </c>
      <c r="F423" s="257" t="s">
        <v>783</v>
      </c>
      <c r="G423" s="91" t="s">
        <v>132</v>
      </c>
      <c r="H423" s="356" t="s">
        <v>119</v>
      </c>
      <c r="I423" s="268" t="s">
        <v>1109</v>
      </c>
      <c r="J423" s="257" t="s">
        <v>188</v>
      </c>
      <c r="K423" s="355"/>
      <c r="L423" s="416"/>
    </row>
    <row r="424" spans="1:15">
      <c r="A424" s="352">
        <v>3821</v>
      </c>
      <c r="B424" s="354">
        <v>41542</v>
      </c>
      <c r="C424" s="257" t="s">
        <v>992</v>
      </c>
      <c r="D424" s="276">
        <v>73</v>
      </c>
      <c r="E424" s="413">
        <f t="shared" si="6"/>
        <v>12.142179937126794</v>
      </c>
      <c r="F424" s="257" t="s">
        <v>179</v>
      </c>
      <c r="G424" s="91" t="s">
        <v>132</v>
      </c>
      <c r="H424" s="356" t="s">
        <v>119</v>
      </c>
      <c r="I424" s="268" t="s">
        <v>1109</v>
      </c>
      <c r="J424" s="257" t="s">
        <v>188</v>
      </c>
      <c r="K424" s="355"/>
      <c r="L424" s="416"/>
    </row>
    <row r="425" spans="1:15" s="218" customFormat="1">
      <c r="A425" s="352">
        <v>3822</v>
      </c>
      <c r="B425" s="354">
        <v>41542</v>
      </c>
      <c r="C425" s="257" t="s">
        <v>991</v>
      </c>
      <c r="D425" s="276">
        <v>50</v>
      </c>
      <c r="E425" s="413">
        <f t="shared" si="6"/>
        <v>8.3165616007717773</v>
      </c>
      <c r="F425" s="257" t="s">
        <v>403</v>
      </c>
      <c r="G425" s="268" t="s">
        <v>106</v>
      </c>
      <c r="H425" s="356" t="s">
        <v>119</v>
      </c>
      <c r="I425" s="91" t="s">
        <v>1110</v>
      </c>
      <c r="J425" s="257" t="s">
        <v>188</v>
      </c>
      <c r="K425" s="356"/>
      <c r="L425" s="416"/>
      <c r="M425" s="88"/>
      <c r="N425" s="88"/>
      <c r="O425" s="88"/>
    </row>
    <row r="426" spans="1:15" s="218" customFormat="1">
      <c r="A426" s="260">
        <v>3948</v>
      </c>
      <c r="B426" s="265">
        <v>41543</v>
      </c>
      <c r="C426" s="267" t="s">
        <v>1033</v>
      </c>
      <c r="D426" s="262">
        <v>10</v>
      </c>
      <c r="E426" s="413">
        <f t="shared" si="6"/>
        <v>1.6633123201543554</v>
      </c>
      <c r="F426" s="267" t="s">
        <v>750</v>
      </c>
      <c r="G426" s="91" t="s">
        <v>114</v>
      </c>
      <c r="H426" s="355" t="s">
        <v>1071</v>
      </c>
      <c r="I426" s="91" t="s">
        <v>1110</v>
      </c>
      <c r="J426" s="267" t="s">
        <v>894</v>
      </c>
      <c r="K426" s="356" t="s">
        <v>29</v>
      </c>
      <c r="L426" s="416" t="s">
        <v>402</v>
      </c>
      <c r="M426" s="267" t="s">
        <v>402</v>
      </c>
      <c r="N426" s="374" t="s">
        <v>402</v>
      </c>
    </row>
    <row r="427" spans="1:15" s="218" customFormat="1">
      <c r="A427" s="352">
        <v>3826</v>
      </c>
      <c r="B427" s="354">
        <v>41543</v>
      </c>
      <c r="C427" s="257" t="s">
        <v>891</v>
      </c>
      <c r="D427" s="276">
        <v>98</v>
      </c>
      <c r="E427" s="413">
        <f t="shared" si="6"/>
        <v>16.300460737512683</v>
      </c>
      <c r="F427" s="257" t="s">
        <v>877</v>
      </c>
      <c r="G427" s="91" t="s">
        <v>132</v>
      </c>
      <c r="H427" s="356" t="s">
        <v>119</v>
      </c>
      <c r="I427" s="91" t="s">
        <v>1110</v>
      </c>
      <c r="J427" s="257" t="s">
        <v>188</v>
      </c>
      <c r="K427" s="355"/>
      <c r="L427" s="416"/>
      <c r="M427" s="88"/>
      <c r="N427" s="88"/>
      <c r="O427" s="88"/>
    </row>
    <row r="428" spans="1:15" s="218" customFormat="1">
      <c r="A428" s="352">
        <v>3827</v>
      </c>
      <c r="B428" s="354">
        <v>41543</v>
      </c>
      <c r="C428" s="257" t="s">
        <v>905</v>
      </c>
      <c r="D428" s="276">
        <v>34.5</v>
      </c>
      <c r="E428" s="413">
        <f t="shared" si="6"/>
        <v>5.7384275045325257</v>
      </c>
      <c r="F428" s="257" t="s">
        <v>877</v>
      </c>
      <c r="G428" s="268" t="s">
        <v>106</v>
      </c>
      <c r="H428" s="356" t="s">
        <v>119</v>
      </c>
      <c r="I428" s="91" t="s">
        <v>1110</v>
      </c>
      <c r="J428" s="257" t="s">
        <v>188</v>
      </c>
      <c r="K428" s="356"/>
      <c r="L428" s="416"/>
      <c r="M428" s="88"/>
      <c r="N428" s="88"/>
      <c r="O428" s="88"/>
    </row>
    <row r="429" spans="1:15" s="218" customFormat="1" ht="15">
      <c r="A429" s="352">
        <v>3941</v>
      </c>
      <c r="B429" s="354">
        <v>41544</v>
      </c>
      <c r="C429" s="257" t="s">
        <v>939</v>
      </c>
      <c r="D429" s="424"/>
      <c r="E429" s="413">
        <v>400</v>
      </c>
      <c r="F429" s="257" t="s">
        <v>185</v>
      </c>
      <c r="G429" s="257" t="s">
        <v>113</v>
      </c>
      <c r="H429" s="408" t="s">
        <v>123</v>
      </c>
      <c r="I429" s="91" t="s">
        <v>1110</v>
      </c>
      <c r="J429" s="268" t="s">
        <v>94</v>
      </c>
      <c r="K429" s="355"/>
      <c r="L429" s="416"/>
      <c r="M429" s="88"/>
      <c r="N429" s="88"/>
      <c r="O429" s="88"/>
    </row>
    <row r="430" spans="1:15" s="218" customFormat="1">
      <c r="A430" s="352">
        <v>3831</v>
      </c>
      <c r="B430" s="354">
        <v>41544</v>
      </c>
      <c r="C430" s="257" t="s">
        <v>813</v>
      </c>
      <c r="D430" s="276">
        <v>1106</v>
      </c>
      <c r="E430" s="413">
        <f t="shared" ref="E430:E454" si="7">D430/6.0121</f>
        <v>183.9623426090717</v>
      </c>
      <c r="F430" s="257" t="s">
        <v>559</v>
      </c>
      <c r="G430" s="91" t="s">
        <v>132</v>
      </c>
      <c r="H430" s="356" t="s">
        <v>119</v>
      </c>
      <c r="I430" s="268" t="s">
        <v>1109</v>
      </c>
      <c r="J430" s="257" t="s">
        <v>188</v>
      </c>
      <c r="K430" s="356"/>
      <c r="L430" s="416"/>
      <c r="M430" s="88"/>
      <c r="N430" s="88"/>
      <c r="O430" s="88"/>
    </row>
    <row r="431" spans="1:15" s="218" customFormat="1">
      <c r="A431" s="352">
        <v>3836</v>
      </c>
      <c r="B431" s="354">
        <v>41544</v>
      </c>
      <c r="C431" s="257" t="s">
        <v>913</v>
      </c>
      <c r="D431" s="276">
        <v>123.5</v>
      </c>
      <c r="E431" s="413">
        <f t="shared" si="7"/>
        <v>20.541907153906287</v>
      </c>
      <c r="F431" s="257" t="s">
        <v>559</v>
      </c>
      <c r="G431" s="91" t="s">
        <v>132</v>
      </c>
      <c r="H431" s="356" t="s">
        <v>119</v>
      </c>
      <c r="I431" s="91" t="s">
        <v>1110</v>
      </c>
      <c r="J431" s="257" t="s">
        <v>188</v>
      </c>
      <c r="K431" s="356"/>
      <c r="L431" s="416"/>
      <c r="M431" s="88"/>
      <c r="N431" s="88"/>
      <c r="O431" s="88"/>
    </row>
    <row r="432" spans="1:15" s="218" customFormat="1">
      <c r="A432" s="352">
        <v>3837</v>
      </c>
      <c r="B432" s="354">
        <v>41544</v>
      </c>
      <c r="C432" s="257" t="s">
        <v>911</v>
      </c>
      <c r="D432" s="276">
        <v>25</v>
      </c>
      <c r="E432" s="413">
        <f t="shared" si="7"/>
        <v>4.1582808003858887</v>
      </c>
      <c r="F432" s="257" t="s">
        <v>912</v>
      </c>
      <c r="G432" s="91" t="s">
        <v>132</v>
      </c>
      <c r="H432" s="356" t="s">
        <v>119</v>
      </c>
      <c r="I432" s="91" t="s">
        <v>1110</v>
      </c>
      <c r="J432" s="257" t="s">
        <v>188</v>
      </c>
      <c r="K432" s="355"/>
      <c r="L432" s="416"/>
      <c r="M432" s="88"/>
      <c r="N432" s="88"/>
      <c r="O432" s="88"/>
    </row>
    <row r="433" spans="1:15" s="218" customFormat="1">
      <c r="A433" s="352">
        <v>3832</v>
      </c>
      <c r="B433" s="354">
        <v>41544</v>
      </c>
      <c r="C433" s="257" t="s">
        <v>812</v>
      </c>
      <c r="D433" s="276">
        <v>1106</v>
      </c>
      <c r="E433" s="413">
        <f t="shared" si="7"/>
        <v>183.9623426090717</v>
      </c>
      <c r="F433" s="257" t="s">
        <v>559</v>
      </c>
      <c r="G433" s="91" t="s">
        <v>132</v>
      </c>
      <c r="H433" s="356" t="s">
        <v>119</v>
      </c>
      <c r="I433" s="91" t="s">
        <v>1110</v>
      </c>
      <c r="J433" s="257" t="s">
        <v>188</v>
      </c>
      <c r="K433" s="356"/>
      <c r="L433" s="416"/>
      <c r="M433" s="88"/>
      <c r="N433" s="88"/>
      <c r="O433" s="88"/>
    </row>
    <row r="434" spans="1:15" s="218" customFormat="1">
      <c r="A434" s="352">
        <v>3857</v>
      </c>
      <c r="B434" s="354">
        <v>41544</v>
      </c>
      <c r="C434" s="257" t="s">
        <v>906</v>
      </c>
      <c r="D434" s="276">
        <v>71</v>
      </c>
      <c r="E434" s="413">
        <f t="shared" si="7"/>
        <v>11.809517473095923</v>
      </c>
      <c r="F434" s="257" t="s">
        <v>877</v>
      </c>
      <c r="G434" s="91" t="s">
        <v>132</v>
      </c>
      <c r="H434" s="356" t="s">
        <v>119</v>
      </c>
      <c r="I434" s="91" t="s">
        <v>1110</v>
      </c>
      <c r="J434" s="257" t="s">
        <v>188</v>
      </c>
      <c r="K434" s="355"/>
      <c r="L434" s="416"/>
      <c r="M434" s="88"/>
      <c r="N434" s="88"/>
      <c r="O434" s="88"/>
    </row>
    <row r="435" spans="1:15" s="218" customFormat="1">
      <c r="A435" s="352">
        <v>3830</v>
      </c>
      <c r="B435" s="354">
        <v>41544</v>
      </c>
      <c r="C435" s="257" t="s">
        <v>814</v>
      </c>
      <c r="D435" s="276">
        <v>1659</v>
      </c>
      <c r="E435" s="413">
        <f t="shared" si="7"/>
        <v>275.94351391360755</v>
      </c>
      <c r="F435" s="257" t="s">
        <v>559</v>
      </c>
      <c r="G435" s="91" t="s">
        <v>132</v>
      </c>
      <c r="H435" s="356" t="s">
        <v>119</v>
      </c>
      <c r="I435" s="268" t="s">
        <v>1109</v>
      </c>
      <c r="J435" s="257" t="s">
        <v>188</v>
      </c>
      <c r="K435" s="356"/>
      <c r="L435" s="416"/>
      <c r="M435" s="88"/>
      <c r="N435" s="88"/>
      <c r="O435" s="88"/>
    </row>
    <row r="436" spans="1:15" s="218" customFormat="1">
      <c r="A436" s="352">
        <v>3835</v>
      </c>
      <c r="B436" s="354">
        <v>41544</v>
      </c>
      <c r="C436" s="257" t="s">
        <v>810</v>
      </c>
      <c r="D436" s="276">
        <v>932.5</v>
      </c>
      <c r="E436" s="413">
        <f t="shared" si="7"/>
        <v>155.10387385439364</v>
      </c>
      <c r="F436" s="257" t="s">
        <v>559</v>
      </c>
      <c r="G436" s="91" t="s">
        <v>132</v>
      </c>
      <c r="H436" s="356" t="s">
        <v>119</v>
      </c>
      <c r="I436" s="268" t="s">
        <v>1109</v>
      </c>
      <c r="J436" s="257" t="s">
        <v>188</v>
      </c>
      <c r="K436" s="356"/>
      <c r="L436" s="416"/>
      <c r="M436" s="88"/>
      <c r="N436" s="88"/>
      <c r="O436" s="88"/>
    </row>
    <row r="437" spans="1:15" s="218" customFormat="1">
      <c r="A437" s="352">
        <v>3842</v>
      </c>
      <c r="B437" s="354">
        <v>41544</v>
      </c>
      <c r="C437" s="257" t="s">
        <v>908</v>
      </c>
      <c r="D437" s="276">
        <v>54</v>
      </c>
      <c r="E437" s="413">
        <f t="shared" si="7"/>
        <v>8.9818865288335186</v>
      </c>
      <c r="F437" s="257" t="s">
        <v>179</v>
      </c>
      <c r="G437" s="91" t="s">
        <v>132</v>
      </c>
      <c r="H437" s="356" t="s">
        <v>119</v>
      </c>
      <c r="I437" s="268" t="s">
        <v>1109</v>
      </c>
      <c r="J437" s="257" t="s">
        <v>188</v>
      </c>
      <c r="K437" s="355"/>
      <c r="L437" s="416"/>
      <c r="M437" s="88"/>
      <c r="N437" s="88"/>
      <c r="O437" s="88"/>
    </row>
    <row r="438" spans="1:15" s="218" customFormat="1">
      <c r="A438" s="352">
        <v>3854</v>
      </c>
      <c r="B438" s="354">
        <v>41544</v>
      </c>
      <c r="C438" s="257" t="s">
        <v>907</v>
      </c>
      <c r="D438" s="276">
        <v>210</v>
      </c>
      <c r="E438" s="413">
        <f t="shared" si="7"/>
        <v>34.929558723241463</v>
      </c>
      <c r="F438" s="257" t="s">
        <v>783</v>
      </c>
      <c r="G438" s="91" t="s">
        <v>132</v>
      </c>
      <c r="H438" s="356" t="s">
        <v>119</v>
      </c>
      <c r="I438" s="268" t="s">
        <v>1109</v>
      </c>
      <c r="J438" s="257" t="s">
        <v>188</v>
      </c>
      <c r="K438" s="355"/>
      <c r="L438" s="416"/>
      <c r="M438" s="88"/>
      <c r="N438" s="88"/>
      <c r="O438" s="88"/>
    </row>
    <row r="439" spans="1:15" s="218" customFormat="1">
      <c r="A439" s="352">
        <v>3841</v>
      </c>
      <c r="B439" s="354">
        <v>41544</v>
      </c>
      <c r="C439" s="257" t="s">
        <v>909</v>
      </c>
      <c r="D439" s="276">
        <v>85</v>
      </c>
      <c r="E439" s="413">
        <f t="shared" si="7"/>
        <v>14.13815472131202</v>
      </c>
      <c r="F439" s="257" t="s">
        <v>179</v>
      </c>
      <c r="G439" s="91" t="s">
        <v>132</v>
      </c>
      <c r="H439" s="356" t="s">
        <v>119</v>
      </c>
      <c r="I439" s="268" t="s">
        <v>1109</v>
      </c>
      <c r="J439" s="257" t="s">
        <v>188</v>
      </c>
      <c r="K439" s="355"/>
      <c r="L439" s="416"/>
      <c r="M439" s="88"/>
      <c r="N439" s="88"/>
      <c r="O439" s="88"/>
    </row>
    <row r="440" spans="1:15" s="218" customFormat="1">
      <c r="A440" s="352">
        <v>3838</v>
      </c>
      <c r="B440" s="354">
        <v>41544</v>
      </c>
      <c r="C440" s="257" t="s">
        <v>910</v>
      </c>
      <c r="D440" s="276">
        <v>18</v>
      </c>
      <c r="E440" s="413">
        <f t="shared" si="7"/>
        <v>2.9939621762778397</v>
      </c>
      <c r="F440" s="257" t="s">
        <v>783</v>
      </c>
      <c r="G440" s="91" t="s">
        <v>132</v>
      </c>
      <c r="H440" s="356" t="s">
        <v>119</v>
      </c>
      <c r="I440" s="268" t="s">
        <v>1109</v>
      </c>
      <c r="J440" s="257" t="s">
        <v>188</v>
      </c>
      <c r="K440" s="355"/>
      <c r="L440" s="416"/>
      <c r="M440" s="88"/>
      <c r="N440" s="88"/>
      <c r="O440" s="88"/>
    </row>
    <row r="441" spans="1:15" s="218" customFormat="1">
      <c r="A441" s="352">
        <v>3834</v>
      </c>
      <c r="B441" s="354">
        <v>41544</v>
      </c>
      <c r="C441" s="257" t="s">
        <v>811</v>
      </c>
      <c r="D441" s="276">
        <v>54</v>
      </c>
      <c r="E441" s="413">
        <f t="shared" si="7"/>
        <v>8.9818865288335186</v>
      </c>
      <c r="F441" s="257" t="s">
        <v>783</v>
      </c>
      <c r="G441" s="91" t="s">
        <v>132</v>
      </c>
      <c r="H441" s="356" t="s">
        <v>119</v>
      </c>
      <c r="I441" s="268" t="s">
        <v>1109</v>
      </c>
      <c r="J441" s="257" t="s">
        <v>188</v>
      </c>
      <c r="K441" s="355"/>
      <c r="L441" s="416"/>
      <c r="M441" s="88"/>
      <c r="N441" s="88"/>
      <c r="O441" s="88"/>
    </row>
    <row r="442" spans="1:15" s="218" customFormat="1">
      <c r="A442" s="352">
        <v>3829</v>
      </c>
      <c r="B442" s="354">
        <v>41544</v>
      </c>
      <c r="C442" s="257" t="s">
        <v>815</v>
      </c>
      <c r="D442" s="276">
        <v>232</v>
      </c>
      <c r="E442" s="413">
        <f t="shared" si="7"/>
        <v>38.588845827581046</v>
      </c>
      <c r="F442" s="257" t="s">
        <v>609</v>
      </c>
      <c r="G442" s="268" t="s">
        <v>106</v>
      </c>
      <c r="H442" s="356" t="s">
        <v>119</v>
      </c>
      <c r="I442" s="268" t="s">
        <v>1109</v>
      </c>
      <c r="J442" s="257" t="s">
        <v>188</v>
      </c>
      <c r="K442" s="356"/>
      <c r="L442" s="416"/>
      <c r="M442" s="88"/>
      <c r="N442" s="88"/>
      <c r="O442" s="88"/>
    </row>
    <row r="443" spans="1:15" s="218" customFormat="1">
      <c r="A443" s="352">
        <v>3824</v>
      </c>
      <c r="B443" s="354">
        <v>41544</v>
      </c>
      <c r="C443" s="257" t="s">
        <v>816</v>
      </c>
      <c r="D443" s="276">
        <v>164</v>
      </c>
      <c r="E443" s="413">
        <f t="shared" si="7"/>
        <v>27.278322050531429</v>
      </c>
      <c r="F443" s="257" t="s">
        <v>817</v>
      </c>
      <c r="G443" s="257" t="s">
        <v>106</v>
      </c>
      <c r="H443" s="356" t="s">
        <v>119</v>
      </c>
      <c r="I443" s="268" t="s">
        <v>1109</v>
      </c>
      <c r="J443" s="257" t="s">
        <v>188</v>
      </c>
      <c r="K443" s="356"/>
      <c r="L443" s="416"/>
      <c r="M443" s="88"/>
      <c r="N443" s="88"/>
      <c r="O443" s="88"/>
    </row>
    <row r="444" spans="1:15" s="218" customFormat="1">
      <c r="A444" s="352">
        <v>3801</v>
      </c>
      <c r="B444" s="354">
        <v>41545</v>
      </c>
      <c r="C444" s="257" t="s">
        <v>931</v>
      </c>
      <c r="D444" s="276">
        <v>10000</v>
      </c>
      <c r="E444" s="413">
        <f t="shared" si="7"/>
        <v>1663.3123201543553</v>
      </c>
      <c r="F444" s="92" t="s">
        <v>511</v>
      </c>
      <c r="G444" s="91" t="s">
        <v>51</v>
      </c>
      <c r="H444" s="355" t="s">
        <v>1071</v>
      </c>
      <c r="I444" s="91" t="s">
        <v>1109</v>
      </c>
      <c r="J444" s="268" t="s">
        <v>175</v>
      </c>
      <c r="K444" s="355" t="s">
        <v>29</v>
      </c>
      <c r="L444" s="416"/>
      <c r="M444" s="88"/>
      <c r="N444" s="88"/>
      <c r="O444" s="88"/>
    </row>
    <row r="445" spans="1:15" s="218" customFormat="1">
      <c r="A445" s="352">
        <v>3800</v>
      </c>
      <c r="B445" s="354">
        <v>41545</v>
      </c>
      <c r="C445" s="257" t="s">
        <v>932</v>
      </c>
      <c r="D445" s="276">
        <v>4200</v>
      </c>
      <c r="E445" s="413">
        <f t="shared" si="7"/>
        <v>698.59117446482924</v>
      </c>
      <c r="F445" s="257" t="s">
        <v>510</v>
      </c>
      <c r="G445" s="91" t="s">
        <v>53</v>
      </c>
      <c r="H445" s="355" t="s">
        <v>1071</v>
      </c>
      <c r="I445" s="91" t="s">
        <v>1109</v>
      </c>
      <c r="J445" s="257" t="s">
        <v>832</v>
      </c>
      <c r="K445" s="356" t="s">
        <v>34</v>
      </c>
      <c r="L445" s="416"/>
      <c r="M445" s="88"/>
      <c r="N445" s="88"/>
      <c r="O445" s="88"/>
    </row>
    <row r="446" spans="1:15" s="218" customFormat="1">
      <c r="A446" s="352">
        <v>3866</v>
      </c>
      <c r="B446" s="354">
        <v>41545</v>
      </c>
      <c r="C446" s="268" t="s">
        <v>1127</v>
      </c>
      <c r="D446" s="276">
        <v>13000</v>
      </c>
      <c r="E446" s="413">
        <f t="shared" si="7"/>
        <v>2162.3060162006618</v>
      </c>
      <c r="F446" s="257" t="s">
        <v>304</v>
      </c>
      <c r="G446" s="91" t="s">
        <v>108</v>
      </c>
      <c r="H446" s="356" t="s">
        <v>119</v>
      </c>
      <c r="I446" s="91" t="s">
        <v>1110</v>
      </c>
      <c r="J446" s="257" t="s">
        <v>188</v>
      </c>
      <c r="K446" s="355"/>
      <c r="L446" s="416"/>
      <c r="M446" s="88"/>
      <c r="N446" s="88"/>
      <c r="O446" s="88"/>
    </row>
    <row r="447" spans="1:15" s="218" customFormat="1">
      <c r="A447" s="352">
        <v>3865</v>
      </c>
      <c r="B447" s="354">
        <v>41545</v>
      </c>
      <c r="C447" s="268" t="s">
        <v>1138</v>
      </c>
      <c r="D447" s="276">
        <v>6000</v>
      </c>
      <c r="E447" s="413">
        <f t="shared" si="7"/>
        <v>997.98739209261316</v>
      </c>
      <c r="F447" s="257" t="s">
        <v>404</v>
      </c>
      <c r="G447" s="91" t="s">
        <v>108</v>
      </c>
      <c r="H447" s="356" t="s">
        <v>119</v>
      </c>
      <c r="I447" s="91" t="s">
        <v>1110</v>
      </c>
      <c r="J447" s="257" t="s">
        <v>188</v>
      </c>
      <c r="K447" s="355"/>
      <c r="L447" s="416"/>
      <c r="M447" s="88"/>
      <c r="N447" s="88"/>
      <c r="O447" s="88"/>
    </row>
    <row r="448" spans="1:15" s="218" customFormat="1">
      <c r="A448" s="352">
        <v>3867</v>
      </c>
      <c r="B448" s="354">
        <v>41545</v>
      </c>
      <c r="C448" s="257" t="s">
        <v>929</v>
      </c>
      <c r="D448" s="276">
        <v>3000</v>
      </c>
      <c r="E448" s="413">
        <f t="shared" si="7"/>
        <v>498.99369604630658</v>
      </c>
      <c r="F448" s="257" t="s">
        <v>510</v>
      </c>
      <c r="G448" s="91" t="s">
        <v>108</v>
      </c>
      <c r="H448" s="355" t="s">
        <v>118</v>
      </c>
      <c r="I448" s="91" t="s">
        <v>1110</v>
      </c>
      <c r="J448" s="257" t="s">
        <v>188</v>
      </c>
      <c r="K448" s="356" t="s">
        <v>27</v>
      </c>
      <c r="L448" s="416"/>
      <c r="M448" s="88"/>
      <c r="N448" s="88"/>
      <c r="O448" s="88"/>
    </row>
    <row r="449" spans="1:15" s="218" customFormat="1">
      <c r="A449" s="352">
        <v>3905</v>
      </c>
      <c r="B449" s="354">
        <v>41545</v>
      </c>
      <c r="C449" s="257" t="s">
        <v>1149</v>
      </c>
      <c r="D449" s="276">
        <v>4500</v>
      </c>
      <c r="E449" s="413">
        <f t="shared" si="7"/>
        <v>748.49054406945993</v>
      </c>
      <c r="F449" s="257" t="s">
        <v>183</v>
      </c>
      <c r="G449" s="92" t="s">
        <v>111</v>
      </c>
      <c r="H449" s="356" t="s">
        <v>119</v>
      </c>
      <c r="I449" s="91" t="s">
        <v>1110</v>
      </c>
      <c r="J449" s="257" t="s">
        <v>188</v>
      </c>
      <c r="K449" s="355"/>
      <c r="L449" s="416"/>
      <c r="M449" s="88"/>
      <c r="N449" s="88"/>
      <c r="O449" s="88"/>
    </row>
    <row r="450" spans="1:15" s="218" customFormat="1">
      <c r="A450" s="352">
        <v>3904</v>
      </c>
      <c r="B450" s="354">
        <v>41545</v>
      </c>
      <c r="C450" s="257" t="s">
        <v>1159</v>
      </c>
      <c r="D450" s="276">
        <v>4500</v>
      </c>
      <c r="E450" s="413">
        <f t="shared" si="7"/>
        <v>748.49054406945993</v>
      </c>
      <c r="F450" s="257" t="s">
        <v>182</v>
      </c>
      <c r="G450" s="92" t="s">
        <v>111</v>
      </c>
      <c r="H450" s="356" t="s">
        <v>119</v>
      </c>
      <c r="I450" s="91" t="s">
        <v>1110</v>
      </c>
      <c r="J450" s="257" t="s">
        <v>188</v>
      </c>
      <c r="K450" s="355"/>
      <c r="L450" s="416"/>
      <c r="M450" s="88"/>
      <c r="N450" s="88"/>
      <c r="O450" s="88"/>
    </row>
    <row r="451" spans="1:15" s="218" customFormat="1">
      <c r="A451" s="352">
        <v>3903</v>
      </c>
      <c r="B451" s="354">
        <v>41545</v>
      </c>
      <c r="C451" s="257" t="s">
        <v>1176</v>
      </c>
      <c r="D451" s="276">
        <v>12000</v>
      </c>
      <c r="E451" s="413">
        <f t="shared" si="7"/>
        <v>1995.9747841852263</v>
      </c>
      <c r="F451" s="257" t="s">
        <v>184</v>
      </c>
      <c r="G451" s="92" t="s">
        <v>111</v>
      </c>
      <c r="H451" s="356" t="s">
        <v>119</v>
      </c>
      <c r="I451" s="91" t="s">
        <v>1110</v>
      </c>
      <c r="J451" s="257" t="s">
        <v>928</v>
      </c>
      <c r="K451" s="355"/>
      <c r="L451" s="416"/>
      <c r="M451" s="88"/>
      <c r="N451" s="88"/>
      <c r="O451" s="88"/>
    </row>
    <row r="452" spans="1:15" s="218" customFormat="1">
      <c r="A452" s="352">
        <v>3840</v>
      </c>
      <c r="B452" s="354">
        <v>41545</v>
      </c>
      <c r="C452" s="257" t="s">
        <v>930</v>
      </c>
      <c r="D452" s="276">
        <v>26</v>
      </c>
      <c r="E452" s="413">
        <f t="shared" si="7"/>
        <v>4.3246120324013235</v>
      </c>
      <c r="F452" s="257" t="s">
        <v>179</v>
      </c>
      <c r="G452" s="91" t="s">
        <v>132</v>
      </c>
      <c r="H452" s="356" t="s">
        <v>119</v>
      </c>
      <c r="I452" s="268" t="s">
        <v>1109</v>
      </c>
      <c r="J452" s="257" t="s">
        <v>188</v>
      </c>
      <c r="K452" s="355"/>
      <c r="L452" s="416"/>
      <c r="M452" s="88"/>
      <c r="N452" s="88"/>
      <c r="O452" s="88"/>
    </row>
    <row r="453" spans="1:15" s="218" customFormat="1">
      <c r="A453" s="352">
        <v>3810</v>
      </c>
      <c r="B453" s="354">
        <v>41547</v>
      </c>
      <c r="C453" s="257" t="s">
        <v>937</v>
      </c>
      <c r="D453" s="276">
        <v>2096.4299999999998</v>
      </c>
      <c r="E453" s="413">
        <f t="shared" si="7"/>
        <v>348.70178473411949</v>
      </c>
      <c r="F453" s="257" t="s">
        <v>409</v>
      </c>
      <c r="G453" s="91" t="s">
        <v>52</v>
      </c>
      <c r="H453" s="355" t="s">
        <v>118</v>
      </c>
      <c r="I453" s="91" t="s">
        <v>1109</v>
      </c>
      <c r="J453" s="257" t="s">
        <v>832</v>
      </c>
      <c r="K453" s="355" t="s">
        <v>24</v>
      </c>
      <c r="L453" s="416"/>
      <c r="M453" s="88"/>
      <c r="N453" s="88"/>
      <c r="O453" s="88"/>
    </row>
    <row r="454" spans="1:15" s="218" customFormat="1">
      <c r="A454" s="352">
        <v>3811</v>
      </c>
      <c r="B454" s="354">
        <v>41547</v>
      </c>
      <c r="C454" s="257" t="s">
        <v>936</v>
      </c>
      <c r="D454" s="276">
        <v>1137.24</v>
      </c>
      <c r="E454" s="413">
        <f t="shared" si="7"/>
        <v>189.15853029723391</v>
      </c>
      <c r="F454" s="257" t="s">
        <v>409</v>
      </c>
      <c r="G454" s="91" t="s">
        <v>52</v>
      </c>
      <c r="H454" s="355" t="s">
        <v>118</v>
      </c>
      <c r="I454" s="91" t="s">
        <v>1109</v>
      </c>
      <c r="J454" s="257" t="s">
        <v>832</v>
      </c>
      <c r="K454" s="355" t="s">
        <v>24</v>
      </c>
      <c r="L454" s="416"/>
      <c r="M454" s="88"/>
      <c r="N454" s="88"/>
      <c r="O454" s="88"/>
    </row>
    <row r="455" spans="1:15" s="218" customFormat="1" ht="15">
      <c r="A455" s="352">
        <v>3922</v>
      </c>
      <c r="B455" s="354">
        <v>41547</v>
      </c>
      <c r="C455" s="257" t="s">
        <v>935</v>
      </c>
      <c r="D455" s="424"/>
      <c r="E455" s="413">
        <v>25</v>
      </c>
      <c r="F455" s="257" t="s">
        <v>675</v>
      </c>
      <c r="G455" s="91" t="s">
        <v>114</v>
      </c>
      <c r="H455" s="355" t="s">
        <v>118</v>
      </c>
      <c r="I455" s="91" t="s">
        <v>1110</v>
      </c>
      <c r="J455" s="257" t="s">
        <v>102</v>
      </c>
      <c r="K455" s="355" t="s">
        <v>23</v>
      </c>
      <c r="L455" s="416"/>
      <c r="M455" s="88"/>
      <c r="N455" s="88"/>
      <c r="O455" s="88"/>
    </row>
    <row r="456" spans="1:15" s="218" customFormat="1" ht="15">
      <c r="A456" s="352">
        <v>3923</v>
      </c>
      <c r="B456" s="354">
        <v>41547</v>
      </c>
      <c r="C456" s="257" t="s">
        <v>933</v>
      </c>
      <c r="D456" s="424"/>
      <c r="E456" s="413">
        <v>22</v>
      </c>
      <c r="F456" s="257" t="s">
        <v>934</v>
      </c>
      <c r="G456" s="91" t="s">
        <v>132</v>
      </c>
      <c r="H456" s="355" t="s">
        <v>1071</v>
      </c>
      <c r="I456" s="91" t="s">
        <v>1110</v>
      </c>
      <c r="J456" s="257" t="s">
        <v>102</v>
      </c>
      <c r="K456" s="356" t="s">
        <v>39</v>
      </c>
      <c r="L456" s="416"/>
      <c r="M456" s="88"/>
      <c r="N456" s="88"/>
      <c r="O456" s="88"/>
    </row>
    <row r="457" spans="1:15" s="218" customFormat="1">
      <c r="A457" s="352">
        <v>3931</v>
      </c>
      <c r="B457" s="354">
        <v>41556</v>
      </c>
      <c r="C457" s="257" t="s">
        <v>940</v>
      </c>
      <c r="D457" s="276">
        <v>1115.48</v>
      </c>
      <c r="E457" s="413">
        <f t="shared" ref="E457:E477" si="8">D457/6.0043</f>
        <v>185.7801908632147</v>
      </c>
      <c r="F457" s="257" t="s">
        <v>941</v>
      </c>
      <c r="G457" s="268" t="s">
        <v>1083</v>
      </c>
      <c r="H457" s="355" t="s">
        <v>118</v>
      </c>
      <c r="I457" s="91" t="s">
        <v>1110</v>
      </c>
      <c r="J457" s="91" t="s">
        <v>291</v>
      </c>
      <c r="K457" s="356" t="s">
        <v>25</v>
      </c>
      <c r="L457" s="416"/>
      <c r="M457" s="88"/>
      <c r="N457" s="88"/>
      <c r="O457" s="88"/>
    </row>
    <row r="458" spans="1:15" s="218" customFormat="1">
      <c r="A458" s="352">
        <v>3932</v>
      </c>
      <c r="B458" s="354">
        <v>41558</v>
      </c>
      <c r="C458" s="257" t="s">
        <v>952</v>
      </c>
      <c r="D458" s="276">
        <v>173.6</v>
      </c>
      <c r="E458" s="413">
        <f t="shared" si="8"/>
        <v>28.912612627616873</v>
      </c>
      <c r="F458" s="257" t="s">
        <v>302</v>
      </c>
      <c r="G458" s="91" t="s">
        <v>114</v>
      </c>
      <c r="H458" s="355" t="s">
        <v>118</v>
      </c>
      <c r="I458" s="268" t="s">
        <v>1109</v>
      </c>
      <c r="J458" s="268" t="s">
        <v>832</v>
      </c>
      <c r="K458" s="355" t="s">
        <v>23</v>
      </c>
      <c r="L458" s="416"/>
      <c r="M458" s="88"/>
      <c r="N458" s="88"/>
      <c r="O458" s="88"/>
    </row>
    <row r="459" spans="1:15" s="218" customFormat="1">
      <c r="A459" s="352">
        <v>3870</v>
      </c>
      <c r="B459" s="354">
        <v>41558</v>
      </c>
      <c r="C459" s="257" t="s">
        <v>821</v>
      </c>
      <c r="D459" s="276">
        <v>30</v>
      </c>
      <c r="E459" s="413">
        <f t="shared" si="8"/>
        <v>4.9964192328831007</v>
      </c>
      <c r="F459" s="257" t="s">
        <v>510</v>
      </c>
      <c r="G459" s="91" t="s">
        <v>132</v>
      </c>
      <c r="H459" s="355" t="s">
        <v>1071</v>
      </c>
      <c r="I459" s="91" t="s">
        <v>1110</v>
      </c>
      <c r="J459" s="257" t="s">
        <v>188</v>
      </c>
      <c r="K459" s="356" t="s">
        <v>29</v>
      </c>
      <c r="L459" s="416"/>
      <c r="M459" s="88"/>
      <c r="N459" s="88"/>
      <c r="O459" s="88"/>
    </row>
    <row r="460" spans="1:15" s="218" customFormat="1">
      <c r="A460" s="352">
        <v>3862</v>
      </c>
      <c r="B460" s="354">
        <v>41558</v>
      </c>
      <c r="C460" s="257" t="s">
        <v>953</v>
      </c>
      <c r="D460" s="276">
        <v>82</v>
      </c>
      <c r="E460" s="413">
        <f t="shared" si="8"/>
        <v>13.656879236547141</v>
      </c>
      <c r="F460" s="257" t="s">
        <v>264</v>
      </c>
      <c r="G460" s="268" t="s">
        <v>106</v>
      </c>
      <c r="H460" s="356" t="s">
        <v>119</v>
      </c>
      <c r="I460" s="91" t="s">
        <v>1110</v>
      </c>
      <c r="J460" s="257" t="s">
        <v>188</v>
      </c>
      <c r="K460" s="356"/>
      <c r="L460" s="416"/>
      <c r="M460" s="88"/>
      <c r="N460" s="88"/>
      <c r="O460" s="88"/>
    </row>
    <row r="461" spans="1:15" s="218" customFormat="1">
      <c r="A461" s="352">
        <v>3843</v>
      </c>
      <c r="B461" s="354">
        <v>41558</v>
      </c>
      <c r="C461" s="257" t="s">
        <v>954</v>
      </c>
      <c r="D461" s="276">
        <v>1148</v>
      </c>
      <c r="E461" s="413">
        <f t="shared" si="8"/>
        <v>191.19630931165997</v>
      </c>
      <c r="F461" s="257" t="s">
        <v>955</v>
      </c>
      <c r="G461" s="268" t="s">
        <v>106</v>
      </c>
      <c r="H461" s="356" t="s">
        <v>119</v>
      </c>
      <c r="I461" s="268" t="s">
        <v>1109</v>
      </c>
      <c r="J461" s="257" t="s">
        <v>188</v>
      </c>
      <c r="K461" s="356"/>
      <c r="L461" s="416"/>
      <c r="M461" s="88"/>
      <c r="N461" s="88"/>
      <c r="O461" s="88"/>
    </row>
    <row r="462" spans="1:15" s="218" customFormat="1">
      <c r="A462" s="352">
        <v>3933</v>
      </c>
      <c r="B462" s="354">
        <v>41559</v>
      </c>
      <c r="C462" s="257" t="s">
        <v>956</v>
      </c>
      <c r="D462" s="276">
        <v>360.5</v>
      </c>
      <c r="E462" s="413">
        <f t="shared" si="8"/>
        <v>60.040304448478594</v>
      </c>
      <c r="F462" s="257" t="s">
        <v>181</v>
      </c>
      <c r="G462" s="91" t="s">
        <v>114</v>
      </c>
      <c r="H462" s="355" t="s">
        <v>118</v>
      </c>
      <c r="I462" s="268" t="s">
        <v>1109</v>
      </c>
      <c r="J462" s="268" t="s">
        <v>832</v>
      </c>
      <c r="K462" s="355" t="s">
        <v>23</v>
      </c>
      <c r="L462" s="416"/>
      <c r="M462" s="88"/>
      <c r="N462" s="88"/>
      <c r="O462" s="88"/>
    </row>
    <row r="463" spans="1:15" s="218" customFormat="1">
      <c r="A463" s="352">
        <v>3884</v>
      </c>
      <c r="B463" s="354">
        <v>41559</v>
      </c>
      <c r="C463" s="257" t="s">
        <v>513</v>
      </c>
      <c r="D463" s="276">
        <v>100</v>
      </c>
      <c r="E463" s="413">
        <f t="shared" si="8"/>
        <v>16.654730776277002</v>
      </c>
      <c r="F463" s="257" t="s">
        <v>403</v>
      </c>
      <c r="G463" s="91" t="s">
        <v>114</v>
      </c>
      <c r="H463" s="355" t="s">
        <v>1071</v>
      </c>
      <c r="I463" s="91" t="s">
        <v>1110</v>
      </c>
      <c r="J463" s="257" t="s">
        <v>188</v>
      </c>
      <c r="K463" s="356" t="s">
        <v>34</v>
      </c>
      <c r="L463" s="416"/>
      <c r="M463" s="88"/>
      <c r="N463" s="88"/>
      <c r="O463" s="88"/>
    </row>
    <row r="464" spans="1:15" s="218" customFormat="1">
      <c r="A464" s="352">
        <v>3885</v>
      </c>
      <c r="B464" s="354">
        <v>41559</v>
      </c>
      <c r="C464" s="257" t="s">
        <v>957</v>
      </c>
      <c r="D464" s="276">
        <v>519.5</v>
      </c>
      <c r="E464" s="413">
        <f t="shared" si="8"/>
        <v>86.521326382759028</v>
      </c>
      <c r="F464" s="257" t="s">
        <v>559</v>
      </c>
      <c r="G464" s="91" t="s">
        <v>132</v>
      </c>
      <c r="H464" s="355" t="s">
        <v>1071</v>
      </c>
      <c r="I464" s="268" t="s">
        <v>1109</v>
      </c>
      <c r="J464" s="257" t="s">
        <v>188</v>
      </c>
      <c r="K464" s="356" t="s">
        <v>39</v>
      </c>
      <c r="L464" s="416"/>
      <c r="M464" s="88"/>
      <c r="N464" s="88"/>
      <c r="O464" s="88"/>
    </row>
    <row r="465" spans="1:12">
      <c r="A465" s="352">
        <v>3845</v>
      </c>
      <c r="B465" s="354">
        <v>41561</v>
      </c>
      <c r="C465" s="257" t="s">
        <v>964</v>
      </c>
      <c r="D465" s="276">
        <v>28</v>
      </c>
      <c r="E465" s="413">
        <f t="shared" si="8"/>
        <v>4.6633246173575609</v>
      </c>
      <c r="F465" s="257" t="s">
        <v>179</v>
      </c>
      <c r="G465" s="91" t="s">
        <v>132</v>
      </c>
      <c r="H465" s="356" t="s">
        <v>119</v>
      </c>
      <c r="I465" s="268" t="s">
        <v>1109</v>
      </c>
      <c r="J465" s="257" t="s">
        <v>188</v>
      </c>
      <c r="K465" s="355"/>
      <c r="L465" s="416"/>
    </row>
    <row r="466" spans="1:12">
      <c r="A466" s="352">
        <v>3848</v>
      </c>
      <c r="B466" s="354">
        <v>41561</v>
      </c>
      <c r="C466" s="257" t="s">
        <v>960</v>
      </c>
      <c r="D466" s="276">
        <v>125</v>
      </c>
      <c r="E466" s="413">
        <f t="shared" si="8"/>
        <v>20.818413470346254</v>
      </c>
      <c r="F466" s="257" t="s">
        <v>179</v>
      </c>
      <c r="G466" s="91" t="s">
        <v>132</v>
      </c>
      <c r="H466" s="356" t="s">
        <v>119</v>
      </c>
      <c r="I466" s="268" t="s">
        <v>1109</v>
      </c>
      <c r="J466" s="257" t="s">
        <v>188</v>
      </c>
      <c r="K466" s="355"/>
      <c r="L466" s="416"/>
    </row>
    <row r="467" spans="1:12">
      <c r="A467" s="352">
        <v>3847</v>
      </c>
      <c r="B467" s="354">
        <v>41561</v>
      </c>
      <c r="C467" s="257" t="s">
        <v>961</v>
      </c>
      <c r="D467" s="276">
        <v>40</v>
      </c>
      <c r="E467" s="413">
        <f t="shared" si="8"/>
        <v>6.661892310510801</v>
      </c>
      <c r="F467" s="257" t="s">
        <v>403</v>
      </c>
      <c r="G467" s="91" t="s">
        <v>132</v>
      </c>
      <c r="H467" s="356" t="s">
        <v>119</v>
      </c>
      <c r="I467" s="268" t="s">
        <v>1109</v>
      </c>
      <c r="J467" s="257" t="s">
        <v>188</v>
      </c>
      <c r="K467" s="355"/>
      <c r="L467" s="416"/>
    </row>
    <row r="468" spans="1:12">
      <c r="A468" s="352">
        <v>3846</v>
      </c>
      <c r="B468" s="354">
        <v>41561</v>
      </c>
      <c r="C468" s="257" t="s">
        <v>962</v>
      </c>
      <c r="D468" s="276">
        <v>1000</v>
      </c>
      <c r="E468" s="413">
        <f t="shared" si="8"/>
        <v>166.54730776277003</v>
      </c>
      <c r="F468" s="257" t="s">
        <v>963</v>
      </c>
      <c r="G468" s="91" t="s">
        <v>132</v>
      </c>
      <c r="H468" s="356" t="s">
        <v>119</v>
      </c>
      <c r="I468" s="268" t="s">
        <v>1109</v>
      </c>
      <c r="J468" s="257" t="s">
        <v>188</v>
      </c>
      <c r="K468" s="355"/>
      <c r="L468" s="416"/>
    </row>
    <row r="469" spans="1:12">
      <c r="A469" s="352">
        <v>3851</v>
      </c>
      <c r="B469" s="354">
        <v>41561</v>
      </c>
      <c r="C469" s="257" t="s">
        <v>959</v>
      </c>
      <c r="D469" s="276">
        <v>1106</v>
      </c>
      <c r="E469" s="413">
        <f t="shared" si="8"/>
        <v>184.20132238562366</v>
      </c>
      <c r="F469" s="257" t="s">
        <v>559</v>
      </c>
      <c r="G469" s="91" t="s">
        <v>132</v>
      </c>
      <c r="H469" s="356" t="s">
        <v>119</v>
      </c>
      <c r="I469" s="268" t="s">
        <v>1109</v>
      </c>
      <c r="J469" s="257" t="s">
        <v>188</v>
      </c>
      <c r="K469" s="356"/>
      <c r="L469" s="416"/>
    </row>
    <row r="470" spans="1:12">
      <c r="A470" s="352">
        <v>3852</v>
      </c>
      <c r="B470" s="354">
        <v>41561</v>
      </c>
      <c r="C470" s="257" t="s">
        <v>958</v>
      </c>
      <c r="D470" s="276">
        <v>15</v>
      </c>
      <c r="E470" s="413">
        <f t="shared" si="8"/>
        <v>2.4982096164415504</v>
      </c>
      <c r="F470" s="257" t="s">
        <v>403</v>
      </c>
      <c r="G470" s="268" t="s">
        <v>106</v>
      </c>
      <c r="H470" s="356" t="s">
        <v>119</v>
      </c>
      <c r="I470" s="91" t="s">
        <v>1110</v>
      </c>
      <c r="J470" s="257" t="s">
        <v>188</v>
      </c>
      <c r="K470" s="356"/>
      <c r="L470" s="416"/>
    </row>
    <row r="471" spans="1:12">
      <c r="A471" s="352">
        <v>3844</v>
      </c>
      <c r="B471" s="354">
        <v>41561</v>
      </c>
      <c r="C471" s="257" t="s">
        <v>965</v>
      </c>
      <c r="D471" s="276">
        <v>390</v>
      </c>
      <c r="E471" s="413">
        <f t="shared" si="8"/>
        <v>64.953450027480315</v>
      </c>
      <c r="F471" s="257" t="s">
        <v>403</v>
      </c>
      <c r="G471" s="268" t="s">
        <v>106</v>
      </c>
      <c r="H471" s="356" t="s">
        <v>119</v>
      </c>
      <c r="I471" s="91" t="s">
        <v>1110</v>
      </c>
      <c r="J471" s="257" t="s">
        <v>188</v>
      </c>
      <c r="K471" s="356"/>
      <c r="L471" s="416"/>
    </row>
    <row r="472" spans="1:12">
      <c r="A472" s="352">
        <v>3934</v>
      </c>
      <c r="B472" s="354">
        <v>41563</v>
      </c>
      <c r="C472" s="257" t="s">
        <v>864</v>
      </c>
      <c r="D472" s="276">
        <v>627.9</v>
      </c>
      <c r="E472" s="413">
        <f t="shared" si="8"/>
        <v>104.57505454424329</v>
      </c>
      <c r="F472" s="257" t="s">
        <v>303</v>
      </c>
      <c r="G472" s="91" t="s">
        <v>116</v>
      </c>
      <c r="H472" s="355" t="s">
        <v>118</v>
      </c>
      <c r="I472" s="268" t="s">
        <v>1109</v>
      </c>
      <c r="J472" s="268" t="s">
        <v>832</v>
      </c>
      <c r="K472" s="355" t="s">
        <v>23</v>
      </c>
      <c r="L472" s="416"/>
    </row>
    <row r="473" spans="1:12">
      <c r="A473" s="352">
        <v>3850</v>
      </c>
      <c r="B473" s="354">
        <v>41563</v>
      </c>
      <c r="C473" s="257" t="s">
        <v>865</v>
      </c>
      <c r="D473" s="276">
        <v>18000</v>
      </c>
      <c r="E473" s="413">
        <f t="shared" si="8"/>
        <v>2997.8515397298602</v>
      </c>
      <c r="F473" s="257" t="s">
        <v>641</v>
      </c>
      <c r="G473" s="268" t="s">
        <v>106</v>
      </c>
      <c r="H473" s="356" t="s">
        <v>119</v>
      </c>
      <c r="I473" s="91" t="s">
        <v>1110</v>
      </c>
      <c r="J473" s="257" t="s">
        <v>188</v>
      </c>
      <c r="K473" s="356"/>
      <c r="L473" s="416"/>
    </row>
    <row r="474" spans="1:12">
      <c r="A474" s="352">
        <v>3849</v>
      </c>
      <c r="B474" s="354">
        <v>41563</v>
      </c>
      <c r="C474" s="257" t="s">
        <v>866</v>
      </c>
      <c r="D474" s="276">
        <v>27500</v>
      </c>
      <c r="E474" s="413">
        <f t="shared" si="8"/>
        <v>4580.0509634761756</v>
      </c>
      <c r="F474" s="257" t="s">
        <v>867</v>
      </c>
      <c r="G474" s="268" t="s">
        <v>106</v>
      </c>
      <c r="H474" s="356" t="s">
        <v>119</v>
      </c>
      <c r="I474" s="91" t="s">
        <v>1110</v>
      </c>
      <c r="J474" s="257" t="s">
        <v>188</v>
      </c>
      <c r="K474" s="356"/>
      <c r="L474" s="416"/>
    </row>
    <row r="475" spans="1:12">
      <c r="A475" s="352">
        <v>3925</v>
      </c>
      <c r="B475" s="354">
        <v>41565</v>
      </c>
      <c r="C475" s="257" t="s">
        <v>868</v>
      </c>
      <c r="D475" s="276">
        <v>304</v>
      </c>
      <c r="E475" s="413">
        <f t="shared" si="8"/>
        <v>50.630381559882089</v>
      </c>
      <c r="F475" s="257" t="s">
        <v>179</v>
      </c>
      <c r="G475" s="91" t="s">
        <v>132</v>
      </c>
      <c r="H475" s="355" t="s">
        <v>1071</v>
      </c>
      <c r="I475" s="268" t="s">
        <v>1109</v>
      </c>
      <c r="J475" s="91" t="s">
        <v>291</v>
      </c>
      <c r="K475" s="355" t="s">
        <v>29</v>
      </c>
      <c r="L475" s="416"/>
    </row>
    <row r="476" spans="1:12">
      <c r="A476" s="352">
        <v>3936</v>
      </c>
      <c r="B476" s="354">
        <v>41569</v>
      </c>
      <c r="C476" s="257" t="s">
        <v>869</v>
      </c>
      <c r="D476" s="276">
        <v>480</v>
      </c>
      <c r="E476" s="413">
        <f t="shared" si="8"/>
        <v>79.942707726129612</v>
      </c>
      <c r="F476" s="257" t="s">
        <v>270</v>
      </c>
      <c r="G476" s="91" t="s">
        <v>52</v>
      </c>
      <c r="H476" s="355" t="s">
        <v>118</v>
      </c>
      <c r="I476" s="268" t="s">
        <v>1109</v>
      </c>
      <c r="J476" s="268" t="s">
        <v>832</v>
      </c>
      <c r="K476" s="355" t="s">
        <v>24</v>
      </c>
      <c r="L476" s="416"/>
    </row>
    <row r="477" spans="1:12">
      <c r="A477" s="352">
        <v>3935</v>
      </c>
      <c r="B477" s="354">
        <v>41569</v>
      </c>
      <c r="C477" s="257" t="s">
        <v>870</v>
      </c>
      <c r="D477" s="276">
        <v>480</v>
      </c>
      <c r="E477" s="413">
        <f t="shared" si="8"/>
        <v>79.942707726129612</v>
      </c>
      <c r="F477" s="257" t="s">
        <v>270</v>
      </c>
      <c r="G477" s="91" t="s">
        <v>52</v>
      </c>
      <c r="H477" s="355" t="s">
        <v>1071</v>
      </c>
      <c r="I477" s="268" t="s">
        <v>1109</v>
      </c>
      <c r="J477" s="268" t="s">
        <v>832</v>
      </c>
      <c r="K477" s="356" t="s">
        <v>29</v>
      </c>
      <c r="L477" s="416"/>
    </row>
    <row r="478" spans="1:12" ht="15">
      <c r="A478" s="352">
        <v>3924</v>
      </c>
      <c r="B478" s="354">
        <v>41570</v>
      </c>
      <c r="C478" s="257" t="s">
        <v>871</v>
      </c>
      <c r="D478" s="424"/>
      <c r="E478" s="413">
        <v>221.87</v>
      </c>
      <c r="F478" s="257" t="s">
        <v>872</v>
      </c>
      <c r="G478" s="91" t="s">
        <v>132</v>
      </c>
      <c r="H478" s="355" t="s">
        <v>118</v>
      </c>
      <c r="I478" s="91" t="s">
        <v>1110</v>
      </c>
      <c r="J478" s="257" t="s">
        <v>102</v>
      </c>
      <c r="K478" s="355" t="s">
        <v>23</v>
      </c>
      <c r="L478" s="416"/>
    </row>
    <row r="479" spans="1:12">
      <c r="A479" s="352">
        <v>3886</v>
      </c>
      <c r="B479" s="354">
        <v>41572</v>
      </c>
      <c r="C479" s="268" t="s">
        <v>1160</v>
      </c>
      <c r="D479" s="276">
        <v>4000</v>
      </c>
      <c r="E479" s="413">
        <f t="shared" ref="E479:E491" si="9">D479/6.0043</f>
        <v>666.18923105108013</v>
      </c>
      <c r="F479" s="257" t="s">
        <v>184</v>
      </c>
      <c r="G479" s="92" t="s">
        <v>111</v>
      </c>
      <c r="H479" s="356" t="s">
        <v>119</v>
      </c>
      <c r="I479" s="91" t="s">
        <v>1110</v>
      </c>
      <c r="J479" s="257" t="s">
        <v>188</v>
      </c>
      <c r="K479" s="355"/>
      <c r="L479" s="416"/>
    </row>
    <row r="480" spans="1:12">
      <c r="A480" s="352">
        <v>3890</v>
      </c>
      <c r="B480" s="354">
        <v>41576</v>
      </c>
      <c r="C480" s="257" t="s">
        <v>873</v>
      </c>
      <c r="D480" s="276">
        <v>32</v>
      </c>
      <c r="E480" s="413">
        <f t="shared" si="9"/>
        <v>5.3295138484086406</v>
      </c>
      <c r="F480" s="257" t="s">
        <v>874</v>
      </c>
      <c r="G480" s="91" t="s">
        <v>114</v>
      </c>
      <c r="H480" s="355" t="s">
        <v>118</v>
      </c>
      <c r="I480" s="268" t="s">
        <v>1109</v>
      </c>
      <c r="J480" s="257" t="s">
        <v>188</v>
      </c>
      <c r="K480" s="355" t="s">
        <v>23</v>
      </c>
      <c r="L480" s="416"/>
    </row>
    <row r="481" spans="1:15">
      <c r="A481" s="352">
        <v>3889</v>
      </c>
      <c r="B481" s="354">
        <v>41576</v>
      </c>
      <c r="C481" s="257" t="s">
        <v>875</v>
      </c>
      <c r="D481" s="276">
        <v>45</v>
      </c>
      <c r="E481" s="413">
        <f t="shared" si="9"/>
        <v>7.4946288493246511</v>
      </c>
      <c r="F481" s="257" t="s">
        <v>179</v>
      </c>
      <c r="G481" s="91" t="s">
        <v>132</v>
      </c>
      <c r="H481" s="355" t="s">
        <v>118</v>
      </c>
      <c r="I481" s="268" t="s">
        <v>1109</v>
      </c>
      <c r="J481" s="257" t="s">
        <v>188</v>
      </c>
      <c r="K481" s="355" t="s">
        <v>23</v>
      </c>
      <c r="L481" s="416"/>
    </row>
    <row r="482" spans="1:15">
      <c r="A482" s="352">
        <v>3888</v>
      </c>
      <c r="B482" s="354">
        <v>41577</v>
      </c>
      <c r="C482" s="268" t="s">
        <v>1161</v>
      </c>
      <c r="D482" s="276">
        <v>500</v>
      </c>
      <c r="E482" s="413">
        <f t="shared" si="9"/>
        <v>83.273653881385016</v>
      </c>
      <c r="F482" s="257" t="s">
        <v>184</v>
      </c>
      <c r="G482" s="92" t="s">
        <v>111</v>
      </c>
      <c r="H482" s="356" t="s">
        <v>119</v>
      </c>
      <c r="I482" s="91" t="s">
        <v>1110</v>
      </c>
      <c r="J482" s="257" t="s">
        <v>188</v>
      </c>
      <c r="K482" s="355"/>
      <c r="L482" s="416"/>
    </row>
    <row r="483" spans="1:15">
      <c r="A483" s="352">
        <v>3938</v>
      </c>
      <c r="B483" s="354">
        <v>41578</v>
      </c>
      <c r="C483" s="257" t="s">
        <v>977</v>
      </c>
      <c r="D483" s="276">
        <v>10000</v>
      </c>
      <c r="E483" s="413">
        <f t="shared" si="9"/>
        <v>1665.4730776277001</v>
      </c>
      <c r="F483" s="92" t="s">
        <v>511</v>
      </c>
      <c r="G483" s="91" t="s">
        <v>51</v>
      </c>
      <c r="H483" s="355" t="s">
        <v>1071</v>
      </c>
      <c r="I483" s="268" t="s">
        <v>1109</v>
      </c>
      <c r="J483" s="268" t="s">
        <v>175</v>
      </c>
      <c r="K483" s="355" t="s">
        <v>29</v>
      </c>
      <c r="L483" s="416"/>
    </row>
    <row r="484" spans="1:15">
      <c r="A484" s="352">
        <v>3894</v>
      </c>
      <c r="B484" s="354">
        <v>41578</v>
      </c>
      <c r="C484" s="257" t="s">
        <v>981</v>
      </c>
      <c r="D484" s="276">
        <v>7500</v>
      </c>
      <c r="E484" s="413">
        <f t="shared" si="9"/>
        <v>1249.1048082207751</v>
      </c>
      <c r="F484" s="257" t="s">
        <v>509</v>
      </c>
      <c r="G484" s="91" t="s">
        <v>51</v>
      </c>
      <c r="H484" s="355" t="s">
        <v>118</v>
      </c>
      <c r="I484" s="268" t="s">
        <v>1109</v>
      </c>
      <c r="J484" s="257" t="s">
        <v>188</v>
      </c>
      <c r="K484" s="355" t="s">
        <v>24</v>
      </c>
      <c r="L484" s="416"/>
    </row>
    <row r="485" spans="1:15">
      <c r="A485" s="352">
        <v>3893</v>
      </c>
      <c r="B485" s="354">
        <v>41578</v>
      </c>
      <c r="C485" s="257" t="s">
        <v>982</v>
      </c>
      <c r="D485" s="276">
        <v>4200</v>
      </c>
      <c r="E485" s="413">
        <f t="shared" si="9"/>
        <v>699.49869260363414</v>
      </c>
      <c r="F485" s="257" t="s">
        <v>510</v>
      </c>
      <c r="G485" s="91" t="s">
        <v>53</v>
      </c>
      <c r="H485" s="355" t="s">
        <v>1071</v>
      </c>
      <c r="I485" s="268" t="s">
        <v>1109</v>
      </c>
      <c r="J485" s="257" t="s">
        <v>188</v>
      </c>
      <c r="K485" s="356" t="s">
        <v>34</v>
      </c>
      <c r="L485" s="416"/>
    </row>
    <row r="486" spans="1:15">
      <c r="A486" s="352">
        <v>3937</v>
      </c>
      <c r="B486" s="354">
        <v>41578</v>
      </c>
      <c r="C486" s="257" t="s">
        <v>978</v>
      </c>
      <c r="D486" s="276">
        <v>1137.24</v>
      </c>
      <c r="E486" s="413">
        <f t="shared" si="9"/>
        <v>189.40426028013258</v>
      </c>
      <c r="F486" s="257" t="s">
        <v>409</v>
      </c>
      <c r="G486" s="91" t="s">
        <v>52</v>
      </c>
      <c r="H486" s="355" t="s">
        <v>118</v>
      </c>
      <c r="I486" s="268" t="s">
        <v>1109</v>
      </c>
      <c r="J486" s="268" t="s">
        <v>832</v>
      </c>
      <c r="K486" s="355" t="s">
        <v>24</v>
      </c>
      <c r="L486" s="416"/>
    </row>
    <row r="487" spans="1:15">
      <c r="A487" s="352">
        <v>3896</v>
      </c>
      <c r="B487" s="354">
        <v>41578</v>
      </c>
      <c r="C487" s="257" t="s">
        <v>979</v>
      </c>
      <c r="D487" s="276">
        <v>5500</v>
      </c>
      <c r="E487" s="413">
        <f t="shared" si="9"/>
        <v>916.01019269523511</v>
      </c>
      <c r="F487" s="257" t="s">
        <v>509</v>
      </c>
      <c r="G487" s="91" t="s">
        <v>108</v>
      </c>
      <c r="H487" s="355" t="s">
        <v>1071</v>
      </c>
      <c r="I487" s="91" t="s">
        <v>1110</v>
      </c>
      <c r="J487" s="257" t="s">
        <v>188</v>
      </c>
      <c r="K487" s="355" t="s">
        <v>32</v>
      </c>
      <c r="L487" s="416"/>
    </row>
    <row r="488" spans="1:15">
      <c r="A488" s="352">
        <v>3892</v>
      </c>
      <c r="B488" s="354">
        <v>41578</v>
      </c>
      <c r="C488" s="257" t="s">
        <v>1126</v>
      </c>
      <c r="D488" s="276">
        <v>13000</v>
      </c>
      <c r="E488" s="413">
        <f t="shared" si="9"/>
        <v>2165.1150009160101</v>
      </c>
      <c r="F488" s="257" t="s">
        <v>304</v>
      </c>
      <c r="G488" s="91" t="s">
        <v>108</v>
      </c>
      <c r="H488" s="355" t="s">
        <v>1071</v>
      </c>
      <c r="I488" s="91" t="s">
        <v>1110</v>
      </c>
      <c r="J488" s="257" t="s">
        <v>188</v>
      </c>
      <c r="K488" s="356" t="s">
        <v>30</v>
      </c>
      <c r="L488" s="416"/>
    </row>
    <row r="489" spans="1:15">
      <c r="A489" s="352">
        <v>3926</v>
      </c>
      <c r="B489" s="354">
        <v>41578</v>
      </c>
      <c r="C489" s="257" t="s">
        <v>1137</v>
      </c>
      <c r="D489" s="276">
        <v>6000</v>
      </c>
      <c r="E489" s="413">
        <f t="shared" si="9"/>
        <v>999.28384657662014</v>
      </c>
      <c r="F489" s="257" t="s">
        <v>404</v>
      </c>
      <c r="G489" s="91" t="s">
        <v>108</v>
      </c>
      <c r="H489" s="355" t="s">
        <v>1071</v>
      </c>
      <c r="I489" s="91" t="s">
        <v>1110</v>
      </c>
      <c r="J489" s="91" t="s">
        <v>291</v>
      </c>
      <c r="K489" s="355" t="s">
        <v>32</v>
      </c>
      <c r="L489" s="416"/>
    </row>
    <row r="490" spans="1:15">
      <c r="A490" s="352">
        <v>3895</v>
      </c>
      <c r="B490" s="354">
        <v>41578</v>
      </c>
      <c r="C490" s="257" t="s">
        <v>980</v>
      </c>
      <c r="D490" s="276">
        <v>3000</v>
      </c>
      <c r="E490" s="413">
        <f t="shared" si="9"/>
        <v>499.64192328831007</v>
      </c>
      <c r="F490" s="257" t="s">
        <v>510</v>
      </c>
      <c r="G490" s="91" t="s">
        <v>108</v>
      </c>
      <c r="H490" s="355" t="s">
        <v>118</v>
      </c>
      <c r="I490" s="91" t="s">
        <v>1110</v>
      </c>
      <c r="J490" s="257" t="s">
        <v>188</v>
      </c>
      <c r="K490" s="355" t="s">
        <v>24</v>
      </c>
      <c r="L490" s="416"/>
    </row>
    <row r="491" spans="1:15">
      <c r="A491" s="352">
        <v>3939</v>
      </c>
      <c r="B491" s="354">
        <v>41578</v>
      </c>
      <c r="C491" s="257" t="s">
        <v>470</v>
      </c>
      <c r="D491" s="276">
        <v>14950</v>
      </c>
      <c r="E491" s="413">
        <f t="shared" si="9"/>
        <v>2489.8822510534119</v>
      </c>
      <c r="F491" s="257" t="s">
        <v>471</v>
      </c>
      <c r="G491" s="268" t="s">
        <v>107</v>
      </c>
      <c r="H491" s="355" t="s">
        <v>1071</v>
      </c>
      <c r="I491" s="268" t="s">
        <v>1109</v>
      </c>
      <c r="J491" s="91" t="s">
        <v>291</v>
      </c>
      <c r="K491" s="356" t="s">
        <v>29</v>
      </c>
      <c r="L491" s="416"/>
    </row>
    <row r="492" spans="1:15" ht="15">
      <c r="A492" s="260">
        <v>3949</v>
      </c>
      <c r="B492" s="265">
        <v>41578</v>
      </c>
      <c r="C492" s="267" t="s">
        <v>1033</v>
      </c>
      <c r="D492" s="425"/>
      <c r="E492" s="413">
        <v>45</v>
      </c>
      <c r="F492" s="267" t="s">
        <v>363</v>
      </c>
      <c r="G492" s="91" t="s">
        <v>114</v>
      </c>
      <c r="H492" s="355" t="s">
        <v>1071</v>
      </c>
      <c r="I492" s="91" t="s">
        <v>1110</v>
      </c>
      <c r="J492" s="267" t="s">
        <v>95</v>
      </c>
      <c r="K492" s="356" t="s">
        <v>29</v>
      </c>
      <c r="L492" s="416" t="s">
        <v>402</v>
      </c>
      <c r="M492" s="267" t="s">
        <v>402</v>
      </c>
      <c r="N492" s="374" t="s">
        <v>402</v>
      </c>
      <c r="O492" s="218"/>
    </row>
    <row r="493" spans="1:15">
      <c r="A493" s="352">
        <v>3883</v>
      </c>
      <c r="B493" s="354">
        <v>41578</v>
      </c>
      <c r="C493" s="257" t="s">
        <v>983</v>
      </c>
      <c r="D493" s="276">
        <v>12000</v>
      </c>
      <c r="E493" s="413">
        <f>D493/6.0043</f>
        <v>1998.5676931532403</v>
      </c>
      <c r="F493" s="257" t="s">
        <v>608</v>
      </c>
      <c r="G493" s="92" t="s">
        <v>111</v>
      </c>
      <c r="H493" s="356" t="s">
        <v>119</v>
      </c>
      <c r="I493" s="91" t="s">
        <v>1110</v>
      </c>
      <c r="J493" s="268" t="s">
        <v>894</v>
      </c>
      <c r="K493" s="355"/>
      <c r="L493" s="416"/>
    </row>
    <row r="494" spans="1:15">
      <c r="A494" s="352">
        <v>3887</v>
      </c>
      <c r="B494" s="354">
        <v>41578</v>
      </c>
      <c r="C494" s="257" t="s">
        <v>1175</v>
      </c>
      <c r="D494" s="276">
        <v>12000</v>
      </c>
      <c r="E494" s="413">
        <f>D494/6.0043</f>
        <v>1998.5676931532403</v>
      </c>
      <c r="F494" s="257" t="s">
        <v>608</v>
      </c>
      <c r="G494" s="92" t="s">
        <v>111</v>
      </c>
      <c r="H494" s="356" t="s">
        <v>119</v>
      </c>
      <c r="I494" s="91" t="s">
        <v>1110</v>
      </c>
      <c r="J494" s="268" t="s">
        <v>188</v>
      </c>
      <c r="K494" s="355"/>
      <c r="L494" s="416"/>
    </row>
    <row r="495" spans="1:15" ht="15">
      <c r="A495" s="260">
        <v>3984</v>
      </c>
      <c r="B495" s="265">
        <v>41581</v>
      </c>
      <c r="C495" s="259" t="s">
        <v>574</v>
      </c>
      <c r="D495" s="426"/>
      <c r="E495" s="413">
        <v>200</v>
      </c>
      <c r="F495" s="259" t="s">
        <v>185</v>
      </c>
      <c r="G495" s="92" t="s">
        <v>113</v>
      </c>
      <c r="H495" s="408" t="s">
        <v>123</v>
      </c>
      <c r="I495" s="91" t="s">
        <v>1110</v>
      </c>
      <c r="J495" s="259" t="s">
        <v>95</v>
      </c>
      <c r="K495" s="356"/>
      <c r="L495" s="416" t="s">
        <v>402</v>
      </c>
      <c r="M495" s="259" t="s">
        <v>402</v>
      </c>
      <c r="N495" s="260" t="s">
        <v>402</v>
      </c>
      <c r="O495" s="218"/>
    </row>
    <row r="496" spans="1:15">
      <c r="A496" s="260">
        <v>3929</v>
      </c>
      <c r="B496" s="265">
        <v>41581</v>
      </c>
      <c r="C496" s="259" t="s">
        <v>1034</v>
      </c>
      <c r="D496" s="262">
        <v>35</v>
      </c>
      <c r="E496" s="413">
        <f t="shared" ref="E496:E509" si="10">D496/6.0045</f>
        <v>5.8289616121242398</v>
      </c>
      <c r="F496" s="259" t="s">
        <v>403</v>
      </c>
      <c r="G496" s="268" t="s">
        <v>106</v>
      </c>
      <c r="H496" s="355" t="s">
        <v>1071</v>
      </c>
      <c r="I496" s="91" t="s">
        <v>1110</v>
      </c>
      <c r="J496" s="91" t="s">
        <v>291</v>
      </c>
      <c r="K496" s="355" t="s">
        <v>34</v>
      </c>
      <c r="L496" s="416" t="s">
        <v>402</v>
      </c>
      <c r="M496" s="259" t="s">
        <v>402</v>
      </c>
      <c r="N496" s="260" t="s">
        <v>402</v>
      </c>
    </row>
    <row r="497" spans="1:15">
      <c r="A497" s="260">
        <v>3928</v>
      </c>
      <c r="B497" s="265">
        <v>41581</v>
      </c>
      <c r="C497" s="259" t="s">
        <v>914</v>
      </c>
      <c r="D497" s="262">
        <v>230</v>
      </c>
      <c r="E497" s="413">
        <f t="shared" si="10"/>
        <v>38.304604879673576</v>
      </c>
      <c r="F497" s="259" t="s">
        <v>403</v>
      </c>
      <c r="G497" s="268" t="s">
        <v>106</v>
      </c>
      <c r="H497" s="355" t="s">
        <v>1071</v>
      </c>
      <c r="I497" s="91" t="s">
        <v>1110</v>
      </c>
      <c r="J497" s="91" t="s">
        <v>291</v>
      </c>
      <c r="K497" s="355" t="s">
        <v>34</v>
      </c>
      <c r="L497" s="416" t="s">
        <v>402</v>
      </c>
      <c r="M497" s="259" t="s">
        <v>402</v>
      </c>
      <c r="N497" s="260" t="s">
        <v>402</v>
      </c>
    </row>
    <row r="498" spans="1:15">
      <c r="A498" s="260">
        <v>3970</v>
      </c>
      <c r="B498" s="265">
        <v>41582</v>
      </c>
      <c r="C498" s="259" t="s">
        <v>180</v>
      </c>
      <c r="D498" s="262">
        <v>50</v>
      </c>
      <c r="E498" s="413">
        <f t="shared" si="10"/>
        <v>8.3270880173203423</v>
      </c>
      <c r="F498" s="259" t="s">
        <v>403</v>
      </c>
      <c r="G498" s="91" t="s">
        <v>114</v>
      </c>
      <c r="H498" s="355" t="s">
        <v>1071</v>
      </c>
      <c r="I498" s="91" t="s">
        <v>1110</v>
      </c>
      <c r="J498" s="91" t="s">
        <v>291</v>
      </c>
      <c r="K498" s="356" t="s">
        <v>34</v>
      </c>
      <c r="L498" s="416" t="s">
        <v>402</v>
      </c>
      <c r="M498" s="259" t="s">
        <v>402</v>
      </c>
      <c r="N498" s="260" t="s">
        <v>402</v>
      </c>
      <c r="O498" s="218"/>
    </row>
    <row r="499" spans="1:15">
      <c r="A499" s="260">
        <v>3930</v>
      </c>
      <c r="B499" s="265">
        <v>41582</v>
      </c>
      <c r="C499" s="259" t="s">
        <v>915</v>
      </c>
      <c r="D499" s="262">
        <v>392</v>
      </c>
      <c r="E499" s="413">
        <f t="shared" si="10"/>
        <v>65.284370055791484</v>
      </c>
      <c r="F499" s="259" t="s">
        <v>354</v>
      </c>
      <c r="G499" s="91" t="s">
        <v>114</v>
      </c>
      <c r="H499" s="355" t="s">
        <v>1071</v>
      </c>
      <c r="I499" s="91" t="s">
        <v>1110</v>
      </c>
      <c r="J499" s="259" t="s">
        <v>894</v>
      </c>
      <c r="K499" s="356" t="s">
        <v>29</v>
      </c>
      <c r="L499" s="416" t="s">
        <v>402</v>
      </c>
      <c r="M499" s="259" t="s">
        <v>402</v>
      </c>
      <c r="N499" s="260" t="s">
        <v>402</v>
      </c>
    </row>
    <row r="500" spans="1:15">
      <c r="A500" s="260">
        <v>3927</v>
      </c>
      <c r="B500" s="265">
        <v>41583</v>
      </c>
      <c r="C500" s="259" t="s">
        <v>916</v>
      </c>
      <c r="D500" s="262">
        <v>3098.49</v>
      </c>
      <c r="E500" s="413">
        <f t="shared" si="10"/>
        <v>516.0279790157382</v>
      </c>
      <c r="F500" s="259" t="s">
        <v>603</v>
      </c>
      <c r="G500" s="91" t="s">
        <v>52</v>
      </c>
      <c r="H500" s="355" t="s">
        <v>118</v>
      </c>
      <c r="I500" s="91" t="s">
        <v>1110</v>
      </c>
      <c r="J500" s="91" t="s">
        <v>291</v>
      </c>
      <c r="K500" s="355" t="s">
        <v>25</v>
      </c>
      <c r="L500" s="416" t="s">
        <v>402</v>
      </c>
      <c r="M500" s="259" t="s">
        <v>402</v>
      </c>
      <c r="N500" s="260" t="s">
        <v>402</v>
      </c>
    </row>
    <row r="501" spans="1:15">
      <c r="A501" s="260">
        <v>3953</v>
      </c>
      <c r="B501" s="265">
        <v>41584</v>
      </c>
      <c r="C501" s="259" t="s">
        <v>917</v>
      </c>
      <c r="D501" s="262">
        <v>2096.4299999999998</v>
      </c>
      <c r="E501" s="413">
        <f t="shared" si="10"/>
        <v>349.14314264301771</v>
      </c>
      <c r="F501" s="259" t="s">
        <v>409</v>
      </c>
      <c r="G501" s="91" t="s">
        <v>52</v>
      </c>
      <c r="H501" s="355" t="s">
        <v>118</v>
      </c>
      <c r="I501" s="268" t="s">
        <v>1109</v>
      </c>
      <c r="J501" s="259" t="s">
        <v>832</v>
      </c>
      <c r="K501" s="355" t="s">
        <v>24</v>
      </c>
      <c r="L501" s="416" t="s">
        <v>402</v>
      </c>
      <c r="M501" s="259" t="s">
        <v>402</v>
      </c>
      <c r="N501" s="260" t="s">
        <v>402</v>
      </c>
      <c r="O501" s="218"/>
    </row>
    <row r="502" spans="1:15">
      <c r="A502" s="260">
        <v>3960</v>
      </c>
      <c r="B502" s="265">
        <v>41586</v>
      </c>
      <c r="C502" s="259" t="s">
        <v>919</v>
      </c>
      <c r="D502" s="262">
        <v>120</v>
      </c>
      <c r="E502" s="413">
        <f t="shared" si="10"/>
        <v>19.985011241568824</v>
      </c>
      <c r="F502" s="259" t="s">
        <v>920</v>
      </c>
      <c r="G502" s="259" t="s">
        <v>107</v>
      </c>
      <c r="H502" s="355" t="s">
        <v>1071</v>
      </c>
      <c r="I502" s="268" t="s">
        <v>1109</v>
      </c>
      <c r="J502" s="91" t="s">
        <v>291</v>
      </c>
      <c r="K502" s="356" t="s">
        <v>29</v>
      </c>
      <c r="L502" s="416" t="s">
        <v>402</v>
      </c>
      <c r="M502" s="259" t="s">
        <v>402</v>
      </c>
      <c r="N502" s="260" t="s">
        <v>402</v>
      </c>
      <c r="O502" s="218"/>
    </row>
    <row r="503" spans="1:15">
      <c r="A503" s="260">
        <v>3978</v>
      </c>
      <c r="B503" s="265">
        <v>41586</v>
      </c>
      <c r="C503" s="259" t="s">
        <v>918</v>
      </c>
      <c r="D503" s="262">
        <v>33</v>
      </c>
      <c r="E503" s="413">
        <f t="shared" si="10"/>
        <v>5.4958780914314262</v>
      </c>
      <c r="F503" s="259" t="s">
        <v>179</v>
      </c>
      <c r="G503" s="91" t="s">
        <v>132</v>
      </c>
      <c r="H503" s="355" t="s">
        <v>1071</v>
      </c>
      <c r="I503" s="91" t="s">
        <v>1110</v>
      </c>
      <c r="J503" s="91" t="s">
        <v>291</v>
      </c>
      <c r="K503" s="356" t="s">
        <v>29</v>
      </c>
      <c r="L503" s="416" t="s">
        <v>402</v>
      </c>
      <c r="M503" s="259" t="s">
        <v>402</v>
      </c>
      <c r="N503" s="260" t="s">
        <v>402</v>
      </c>
      <c r="O503" s="218"/>
    </row>
    <row r="504" spans="1:15">
      <c r="A504" s="260">
        <v>3959</v>
      </c>
      <c r="B504" s="265">
        <v>41586</v>
      </c>
      <c r="C504" s="259" t="s">
        <v>921</v>
      </c>
      <c r="D504" s="262">
        <v>520</v>
      </c>
      <c r="E504" s="413">
        <f t="shared" si="10"/>
        <v>86.601715380131566</v>
      </c>
      <c r="F504" s="259" t="s">
        <v>920</v>
      </c>
      <c r="G504" s="268" t="s">
        <v>1083</v>
      </c>
      <c r="H504" s="355" t="s">
        <v>1071</v>
      </c>
      <c r="I504" s="268" t="s">
        <v>1109</v>
      </c>
      <c r="J504" s="91" t="s">
        <v>291</v>
      </c>
      <c r="K504" s="356" t="s">
        <v>29</v>
      </c>
      <c r="L504" s="416" t="s">
        <v>402</v>
      </c>
      <c r="M504" s="259" t="s">
        <v>402</v>
      </c>
      <c r="N504" s="260" t="s">
        <v>402</v>
      </c>
      <c r="O504" s="218"/>
    </row>
    <row r="505" spans="1:15">
      <c r="A505" s="260">
        <v>3954</v>
      </c>
      <c r="B505" s="265">
        <v>41587</v>
      </c>
      <c r="C505" s="259" t="s">
        <v>558</v>
      </c>
      <c r="D505" s="262">
        <v>448.97</v>
      </c>
      <c r="E505" s="413">
        <f t="shared" si="10"/>
        <v>74.772254142726297</v>
      </c>
      <c r="F505" s="259" t="s">
        <v>181</v>
      </c>
      <c r="G505" s="91" t="s">
        <v>114</v>
      </c>
      <c r="H505" s="355" t="s">
        <v>118</v>
      </c>
      <c r="I505" s="268" t="s">
        <v>1109</v>
      </c>
      <c r="J505" s="259" t="s">
        <v>832</v>
      </c>
      <c r="K505" s="355" t="s">
        <v>23</v>
      </c>
      <c r="L505" s="416" t="s">
        <v>402</v>
      </c>
      <c r="M505" s="259" t="s">
        <v>402</v>
      </c>
      <c r="N505" s="260" t="s">
        <v>402</v>
      </c>
      <c r="O505" s="218"/>
    </row>
    <row r="506" spans="1:15">
      <c r="A506" s="260">
        <v>3955</v>
      </c>
      <c r="B506" s="265">
        <v>41590</v>
      </c>
      <c r="C506" s="259" t="s">
        <v>923</v>
      </c>
      <c r="D506" s="262">
        <v>480</v>
      </c>
      <c r="E506" s="413">
        <f t="shared" si="10"/>
        <v>79.940044966275295</v>
      </c>
      <c r="F506" s="259" t="s">
        <v>270</v>
      </c>
      <c r="G506" s="91" t="s">
        <v>52</v>
      </c>
      <c r="H506" s="355" t="s">
        <v>118</v>
      </c>
      <c r="I506" s="268" t="s">
        <v>1109</v>
      </c>
      <c r="J506" s="259" t="s">
        <v>832</v>
      </c>
      <c r="K506" s="355" t="s">
        <v>24</v>
      </c>
      <c r="L506" s="416" t="s">
        <v>402</v>
      </c>
      <c r="M506" s="259" t="s">
        <v>402</v>
      </c>
      <c r="N506" s="260" t="s">
        <v>402</v>
      </c>
      <c r="O506" s="218"/>
    </row>
    <row r="507" spans="1:15">
      <c r="A507" s="260">
        <v>3956</v>
      </c>
      <c r="B507" s="265">
        <v>41590</v>
      </c>
      <c r="C507" s="259" t="s">
        <v>922</v>
      </c>
      <c r="D507" s="262">
        <v>480</v>
      </c>
      <c r="E507" s="413">
        <f t="shared" si="10"/>
        <v>79.940044966275295</v>
      </c>
      <c r="F507" s="259" t="s">
        <v>270</v>
      </c>
      <c r="G507" s="91" t="s">
        <v>52</v>
      </c>
      <c r="H507" s="355" t="s">
        <v>1071</v>
      </c>
      <c r="I507" s="268" t="s">
        <v>1109</v>
      </c>
      <c r="J507" s="259" t="s">
        <v>832</v>
      </c>
      <c r="K507" s="356" t="s">
        <v>29</v>
      </c>
      <c r="L507" s="416" t="s">
        <v>402</v>
      </c>
      <c r="M507" s="259" t="s">
        <v>402</v>
      </c>
      <c r="N507" s="260" t="s">
        <v>402</v>
      </c>
      <c r="O507" s="218"/>
    </row>
    <row r="508" spans="1:15">
      <c r="A508" s="260">
        <v>3958</v>
      </c>
      <c r="B508" s="265">
        <v>41591</v>
      </c>
      <c r="C508" s="259" t="s">
        <v>927</v>
      </c>
      <c r="D508" s="262">
        <v>955.68</v>
      </c>
      <c r="E508" s="413">
        <f t="shared" si="10"/>
        <v>159.1606295278541</v>
      </c>
      <c r="F508" s="259" t="s">
        <v>303</v>
      </c>
      <c r="G508" s="91" t="s">
        <v>116</v>
      </c>
      <c r="H508" s="355" t="s">
        <v>118</v>
      </c>
      <c r="I508" s="268" t="s">
        <v>1109</v>
      </c>
      <c r="J508" s="259" t="s">
        <v>832</v>
      </c>
      <c r="K508" s="355" t="s">
        <v>23</v>
      </c>
      <c r="L508" s="416" t="s">
        <v>402</v>
      </c>
      <c r="M508" s="259" t="s">
        <v>402</v>
      </c>
      <c r="N508" s="260" t="s">
        <v>402</v>
      </c>
      <c r="O508" s="218"/>
    </row>
    <row r="509" spans="1:15">
      <c r="A509" s="260">
        <v>3957</v>
      </c>
      <c r="B509" s="265">
        <v>41591</v>
      </c>
      <c r="C509" s="259" t="s">
        <v>952</v>
      </c>
      <c r="D509" s="262">
        <v>173.6</v>
      </c>
      <c r="E509" s="413">
        <f t="shared" si="10"/>
        <v>28.911649596136229</v>
      </c>
      <c r="F509" s="259" t="s">
        <v>302</v>
      </c>
      <c r="G509" s="91" t="s">
        <v>114</v>
      </c>
      <c r="H509" s="355" t="s">
        <v>1071</v>
      </c>
      <c r="I509" s="268" t="s">
        <v>1109</v>
      </c>
      <c r="J509" s="259" t="s">
        <v>832</v>
      </c>
      <c r="K509" s="356" t="s">
        <v>29</v>
      </c>
      <c r="L509" s="416" t="s">
        <v>402</v>
      </c>
      <c r="M509" s="259" t="s">
        <v>402</v>
      </c>
      <c r="N509" s="260" t="s">
        <v>402</v>
      </c>
      <c r="O509" s="218"/>
    </row>
    <row r="510" spans="1:15" ht="15">
      <c r="A510" s="260">
        <v>3972</v>
      </c>
      <c r="B510" s="265">
        <v>41591</v>
      </c>
      <c r="C510" s="259" t="s">
        <v>925</v>
      </c>
      <c r="D510" s="426"/>
      <c r="E510" s="413">
        <v>1457.45</v>
      </c>
      <c r="F510" s="259" t="s">
        <v>754</v>
      </c>
      <c r="G510" s="91" t="s">
        <v>132</v>
      </c>
      <c r="H510" s="355" t="s">
        <v>1071</v>
      </c>
      <c r="I510" s="91" t="s">
        <v>1110</v>
      </c>
      <c r="J510" s="259" t="s">
        <v>975</v>
      </c>
      <c r="K510" s="356" t="s">
        <v>29</v>
      </c>
      <c r="L510" s="416" t="s">
        <v>402</v>
      </c>
      <c r="M510" s="259" t="s">
        <v>402</v>
      </c>
      <c r="N510" s="260" t="s">
        <v>402</v>
      </c>
      <c r="O510" s="218"/>
    </row>
    <row r="511" spans="1:15">
      <c r="A511" s="260">
        <v>3979</v>
      </c>
      <c r="B511" s="265">
        <v>41591</v>
      </c>
      <c r="C511" s="259" t="s">
        <v>924</v>
      </c>
      <c r="D511" s="262">
        <v>60</v>
      </c>
      <c r="E511" s="413">
        <f>D511/6.0045</f>
        <v>9.9925056207844118</v>
      </c>
      <c r="F511" s="259" t="s">
        <v>179</v>
      </c>
      <c r="G511" s="91" t="s">
        <v>132</v>
      </c>
      <c r="H511" s="355" t="s">
        <v>1071</v>
      </c>
      <c r="I511" s="91" t="s">
        <v>1110</v>
      </c>
      <c r="J511" s="91" t="s">
        <v>291</v>
      </c>
      <c r="K511" s="356" t="s">
        <v>29</v>
      </c>
      <c r="L511" s="416" t="s">
        <v>402</v>
      </c>
      <c r="M511" s="259" t="s">
        <v>402</v>
      </c>
      <c r="N511" s="260" t="s">
        <v>402</v>
      </c>
      <c r="O511" s="218"/>
    </row>
    <row r="512" spans="1:15">
      <c r="A512" s="260">
        <v>3969</v>
      </c>
      <c r="B512" s="265">
        <v>41591</v>
      </c>
      <c r="C512" s="259" t="s">
        <v>926</v>
      </c>
      <c r="D512" s="262">
        <v>940</v>
      </c>
      <c r="E512" s="413">
        <f>D512/6.0045</f>
        <v>156.54925472562243</v>
      </c>
      <c r="F512" s="259" t="s">
        <v>874</v>
      </c>
      <c r="G512" s="268" t="s">
        <v>1083</v>
      </c>
      <c r="H512" s="355" t="s">
        <v>118</v>
      </c>
      <c r="I512" s="91" t="s">
        <v>1110</v>
      </c>
      <c r="J512" s="91" t="s">
        <v>291</v>
      </c>
      <c r="K512" s="356" t="s">
        <v>25</v>
      </c>
      <c r="L512" s="416" t="s">
        <v>402</v>
      </c>
      <c r="M512" s="259" t="s">
        <v>402</v>
      </c>
      <c r="N512" s="260" t="s">
        <v>402</v>
      </c>
      <c r="O512" s="218"/>
    </row>
    <row r="513" spans="1:15" ht="15">
      <c r="A513" s="260">
        <v>3973</v>
      </c>
      <c r="B513" s="265">
        <v>41594</v>
      </c>
      <c r="C513" s="259" t="s">
        <v>1035</v>
      </c>
      <c r="D513" s="426"/>
      <c r="E513" s="413">
        <v>213.9</v>
      </c>
      <c r="F513" s="259" t="s">
        <v>1036</v>
      </c>
      <c r="G513" s="91" t="s">
        <v>132</v>
      </c>
      <c r="H513" s="355" t="s">
        <v>1071</v>
      </c>
      <c r="I513" s="91" t="s">
        <v>1110</v>
      </c>
      <c r="J513" s="259" t="s">
        <v>975</v>
      </c>
      <c r="K513" s="356" t="s">
        <v>29</v>
      </c>
      <c r="L513" s="416" t="s">
        <v>402</v>
      </c>
      <c r="M513" s="259" t="s">
        <v>402</v>
      </c>
      <c r="N513" s="260" t="s">
        <v>402</v>
      </c>
      <c r="O513" s="218"/>
    </row>
    <row r="514" spans="1:15">
      <c r="A514" s="260">
        <v>3982</v>
      </c>
      <c r="B514" s="265">
        <v>41595</v>
      </c>
      <c r="C514" s="259" t="s">
        <v>1037</v>
      </c>
      <c r="D514" s="262">
        <v>10</v>
      </c>
      <c r="E514" s="413">
        <f>D514/6.0045</f>
        <v>1.6654176034640686</v>
      </c>
      <c r="F514" s="259" t="s">
        <v>750</v>
      </c>
      <c r="G514" s="91" t="s">
        <v>114</v>
      </c>
      <c r="H514" s="355" t="s">
        <v>1071</v>
      </c>
      <c r="I514" s="91" t="s">
        <v>1110</v>
      </c>
      <c r="J514" s="259" t="s">
        <v>96</v>
      </c>
      <c r="K514" s="356" t="s">
        <v>29</v>
      </c>
      <c r="L514" s="416" t="s">
        <v>402</v>
      </c>
      <c r="M514" s="259" t="s">
        <v>402</v>
      </c>
      <c r="N514" s="260" t="s">
        <v>402</v>
      </c>
      <c r="O514" s="218"/>
    </row>
    <row r="515" spans="1:15" ht="15">
      <c r="A515" s="260">
        <v>3971</v>
      </c>
      <c r="B515" s="265">
        <v>41595</v>
      </c>
      <c r="C515" s="259" t="s">
        <v>1038</v>
      </c>
      <c r="D515" s="426"/>
      <c r="E515" s="413">
        <v>434.1</v>
      </c>
      <c r="F515" s="259" t="s">
        <v>1039</v>
      </c>
      <c r="G515" s="91" t="s">
        <v>132</v>
      </c>
      <c r="H515" s="355" t="s">
        <v>1071</v>
      </c>
      <c r="I515" s="91" t="s">
        <v>1110</v>
      </c>
      <c r="J515" s="259" t="s">
        <v>975</v>
      </c>
      <c r="K515" s="355" t="s">
        <v>39</v>
      </c>
      <c r="L515" s="416" t="s">
        <v>402</v>
      </c>
      <c r="M515" s="259" t="s">
        <v>402</v>
      </c>
      <c r="N515" s="260" t="s">
        <v>402</v>
      </c>
      <c r="O515" s="218"/>
    </row>
    <row r="516" spans="1:15">
      <c r="A516" s="260">
        <v>3968</v>
      </c>
      <c r="B516" s="265">
        <v>41596</v>
      </c>
      <c r="C516" s="259" t="s">
        <v>1040</v>
      </c>
      <c r="D516" s="262">
        <v>18</v>
      </c>
      <c r="E516" s="413">
        <f>D516/6.0045</f>
        <v>2.9977516862353233</v>
      </c>
      <c r="F516" s="259" t="s">
        <v>403</v>
      </c>
      <c r="G516" s="91" t="s">
        <v>114</v>
      </c>
      <c r="H516" s="355" t="s">
        <v>1071</v>
      </c>
      <c r="I516" s="91" t="s">
        <v>1110</v>
      </c>
      <c r="J516" s="91" t="s">
        <v>291</v>
      </c>
      <c r="K516" s="356" t="s">
        <v>29</v>
      </c>
      <c r="L516" s="416" t="s">
        <v>402</v>
      </c>
      <c r="M516" s="259" t="s">
        <v>402</v>
      </c>
      <c r="N516" s="260" t="s">
        <v>402</v>
      </c>
      <c r="O516" s="218"/>
    </row>
    <row r="517" spans="1:15" ht="15">
      <c r="A517" s="260">
        <v>3975</v>
      </c>
      <c r="B517" s="265">
        <v>41597</v>
      </c>
      <c r="C517" s="259" t="s">
        <v>1041</v>
      </c>
      <c r="D517" s="426"/>
      <c r="E517" s="413">
        <v>306.95</v>
      </c>
      <c r="F517" s="259" t="s">
        <v>1042</v>
      </c>
      <c r="G517" s="91" t="s">
        <v>132</v>
      </c>
      <c r="H517" s="355" t="s">
        <v>1071</v>
      </c>
      <c r="I517" s="91" t="s">
        <v>1110</v>
      </c>
      <c r="J517" s="259" t="s">
        <v>975</v>
      </c>
      <c r="K517" s="355" t="s">
        <v>39</v>
      </c>
      <c r="L517" s="416" t="s">
        <v>402</v>
      </c>
      <c r="M517" s="259" t="s">
        <v>402</v>
      </c>
      <c r="N517" s="260" t="s">
        <v>402</v>
      </c>
      <c r="O517" s="218"/>
    </row>
    <row r="518" spans="1:15">
      <c r="A518" s="260">
        <v>3967</v>
      </c>
      <c r="B518" s="265">
        <v>41598</v>
      </c>
      <c r="C518" s="259" t="s">
        <v>1045</v>
      </c>
      <c r="D518" s="262">
        <v>55</v>
      </c>
      <c r="E518" s="413">
        <f>D518/6.0045</f>
        <v>9.159796819052378</v>
      </c>
      <c r="F518" s="259" t="s">
        <v>403</v>
      </c>
      <c r="G518" s="91" t="s">
        <v>114</v>
      </c>
      <c r="H518" s="355" t="s">
        <v>1071</v>
      </c>
      <c r="I518" s="91" t="s">
        <v>1110</v>
      </c>
      <c r="J518" s="91" t="s">
        <v>291</v>
      </c>
      <c r="K518" s="356" t="s">
        <v>29</v>
      </c>
      <c r="L518" s="416" t="s">
        <v>402</v>
      </c>
      <c r="M518" s="259" t="s">
        <v>402</v>
      </c>
      <c r="N518" s="260" t="s">
        <v>402</v>
      </c>
      <c r="O518" s="218"/>
    </row>
    <row r="519" spans="1:15" ht="15">
      <c r="A519" s="260">
        <v>3983</v>
      </c>
      <c r="B519" s="265">
        <v>41598</v>
      </c>
      <c r="C519" s="259" t="s">
        <v>1043</v>
      </c>
      <c r="D519" s="426"/>
      <c r="E519" s="413">
        <v>61</v>
      </c>
      <c r="F519" s="259" t="s">
        <v>381</v>
      </c>
      <c r="G519" s="91" t="s">
        <v>132</v>
      </c>
      <c r="H519" s="355" t="s">
        <v>1071</v>
      </c>
      <c r="I519" s="91" t="s">
        <v>1110</v>
      </c>
      <c r="J519" s="259" t="s">
        <v>975</v>
      </c>
      <c r="K519" s="355" t="s">
        <v>29</v>
      </c>
      <c r="L519" s="416" t="s">
        <v>402</v>
      </c>
      <c r="M519" s="259" t="s">
        <v>402</v>
      </c>
      <c r="N519" s="260" t="s">
        <v>402</v>
      </c>
      <c r="O519" s="218"/>
    </row>
    <row r="520" spans="1:15" s="350" customFormat="1" ht="11" customHeight="1">
      <c r="A520" s="260">
        <v>3980</v>
      </c>
      <c r="B520" s="265">
        <v>41598</v>
      </c>
      <c r="C520" s="259" t="s">
        <v>1044</v>
      </c>
      <c r="D520" s="262">
        <v>89</v>
      </c>
      <c r="E520" s="413">
        <f>D520/6.0045</f>
        <v>14.82221667083021</v>
      </c>
      <c r="F520" s="259" t="s">
        <v>179</v>
      </c>
      <c r="G520" s="91" t="s">
        <v>132</v>
      </c>
      <c r="H520" s="355" t="s">
        <v>1071</v>
      </c>
      <c r="I520" s="91" t="s">
        <v>1110</v>
      </c>
      <c r="J520" s="91" t="s">
        <v>291</v>
      </c>
      <c r="K520" s="355" t="s">
        <v>29</v>
      </c>
      <c r="L520" s="416" t="s">
        <v>402</v>
      </c>
      <c r="M520" s="259" t="s">
        <v>402</v>
      </c>
      <c r="N520" s="260" t="s">
        <v>402</v>
      </c>
      <c r="O520" s="218"/>
    </row>
    <row r="521" spans="1:15" s="123" customFormat="1" ht="11" customHeight="1">
      <c r="A521" s="260">
        <v>3964</v>
      </c>
      <c r="B521" s="265">
        <v>41599</v>
      </c>
      <c r="C521" s="259" t="s">
        <v>733</v>
      </c>
      <c r="D521" s="262">
        <v>38</v>
      </c>
      <c r="E521" s="413">
        <f>D521/6.0045</f>
        <v>6.3285868931634601</v>
      </c>
      <c r="F521" s="259" t="s">
        <v>609</v>
      </c>
      <c r="G521" s="91" t="s">
        <v>114</v>
      </c>
      <c r="H521" s="355" t="s">
        <v>1071</v>
      </c>
      <c r="I521" s="91" t="s">
        <v>1110</v>
      </c>
      <c r="J521" s="91" t="s">
        <v>291</v>
      </c>
      <c r="K521" s="356" t="s">
        <v>29</v>
      </c>
      <c r="L521" s="416" t="s">
        <v>402</v>
      </c>
      <c r="M521" s="259" t="s">
        <v>402</v>
      </c>
      <c r="N521" s="260" t="s">
        <v>402</v>
      </c>
      <c r="O521" s="218"/>
    </row>
    <row r="522" spans="1:15" s="123" customFormat="1" ht="11" customHeight="1">
      <c r="A522" s="260">
        <v>3987</v>
      </c>
      <c r="B522" s="265">
        <v>41600</v>
      </c>
      <c r="C522" s="259" t="s">
        <v>1046</v>
      </c>
      <c r="D522" s="426"/>
      <c r="E522" s="413">
        <v>83</v>
      </c>
      <c r="F522" s="259" t="s">
        <v>1036</v>
      </c>
      <c r="G522" s="91" t="s">
        <v>132</v>
      </c>
      <c r="H522" s="355" t="s">
        <v>1071</v>
      </c>
      <c r="I522" s="91" t="s">
        <v>1110</v>
      </c>
      <c r="J522" s="259" t="s">
        <v>975</v>
      </c>
      <c r="K522" s="356" t="s">
        <v>29</v>
      </c>
      <c r="L522" s="416" t="s">
        <v>402</v>
      </c>
      <c r="M522" s="259" t="s">
        <v>402</v>
      </c>
      <c r="N522" s="260" t="s">
        <v>402</v>
      </c>
      <c r="O522" s="218"/>
    </row>
    <row r="523" spans="1:15" s="123" customFormat="1" ht="11" customHeight="1">
      <c r="A523" s="260">
        <v>3974</v>
      </c>
      <c r="B523" s="265">
        <v>41600</v>
      </c>
      <c r="C523" s="259" t="s">
        <v>1047</v>
      </c>
      <c r="D523" s="426"/>
      <c r="E523" s="413">
        <v>10</v>
      </c>
      <c r="F523" s="259" t="s">
        <v>1048</v>
      </c>
      <c r="G523" s="91" t="s">
        <v>132</v>
      </c>
      <c r="H523" s="355" t="s">
        <v>1071</v>
      </c>
      <c r="I523" s="91" t="s">
        <v>1110</v>
      </c>
      <c r="J523" s="259" t="s">
        <v>975</v>
      </c>
      <c r="K523" s="356" t="s">
        <v>39</v>
      </c>
      <c r="L523" s="416" t="s">
        <v>402</v>
      </c>
      <c r="M523" s="259" t="s">
        <v>402</v>
      </c>
      <c r="N523" s="260" t="s">
        <v>402</v>
      </c>
      <c r="O523" s="218"/>
    </row>
    <row r="524" spans="1:15" s="123" customFormat="1" ht="11" customHeight="1">
      <c r="A524" s="260">
        <v>3965</v>
      </c>
      <c r="B524" s="265">
        <v>41600</v>
      </c>
      <c r="C524" s="259" t="s">
        <v>1051</v>
      </c>
      <c r="D524" s="262">
        <v>23</v>
      </c>
      <c r="E524" s="413">
        <f>D524/6.0045</f>
        <v>3.8304604879673576</v>
      </c>
      <c r="F524" s="259" t="s">
        <v>179</v>
      </c>
      <c r="G524" s="91" t="s">
        <v>132</v>
      </c>
      <c r="H524" s="355" t="s">
        <v>1071</v>
      </c>
      <c r="I524" s="91" t="s">
        <v>1110</v>
      </c>
      <c r="J524" s="91" t="s">
        <v>291</v>
      </c>
      <c r="K524" s="356" t="s">
        <v>29</v>
      </c>
      <c r="L524" s="416" t="s">
        <v>402</v>
      </c>
      <c r="M524" s="259" t="s">
        <v>402</v>
      </c>
      <c r="N524" s="260" t="s">
        <v>402</v>
      </c>
      <c r="O524" s="218"/>
    </row>
    <row r="525" spans="1:15" s="123" customFormat="1" ht="11" customHeight="1">
      <c r="A525" s="260">
        <v>3966</v>
      </c>
      <c r="B525" s="265">
        <v>41600</v>
      </c>
      <c r="C525" s="259" t="s">
        <v>1049</v>
      </c>
      <c r="D525" s="262">
        <v>622</v>
      </c>
      <c r="E525" s="413">
        <f>D525/6.0045</f>
        <v>103.58897493546506</v>
      </c>
      <c r="F525" s="259" t="s">
        <v>1050</v>
      </c>
      <c r="G525" s="268" t="s">
        <v>1083</v>
      </c>
      <c r="H525" s="355" t="s">
        <v>1071</v>
      </c>
      <c r="I525" s="91" t="s">
        <v>1110</v>
      </c>
      <c r="J525" s="91" t="s">
        <v>291</v>
      </c>
      <c r="K525" s="356" t="s">
        <v>32</v>
      </c>
      <c r="L525" s="416" t="s">
        <v>402</v>
      </c>
      <c r="M525" s="259" t="s">
        <v>402</v>
      </c>
      <c r="N525" s="260" t="s">
        <v>402</v>
      </c>
      <c r="O525" s="218"/>
    </row>
    <row r="526" spans="1:15" s="123" customFormat="1" ht="11" customHeight="1">
      <c r="A526" s="260">
        <v>3985</v>
      </c>
      <c r="B526" s="265">
        <v>41601</v>
      </c>
      <c r="C526" s="259" t="s">
        <v>951</v>
      </c>
      <c r="D526" s="426"/>
      <c r="E526" s="413">
        <v>21.68</v>
      </c>
      <c r="F526" s="259" t="s">
        <v>765</v>
      </c>
      <c r="G526" s="91" t="s">
        <v>132</v>
      </c>
      <c r="H526" s="355" t="s">
        <v>1071</v>
      </c>
      <c r="I526" s="91" t="s">
        <v>1110</v>
      </c>
      <c r="J526" s="259" t="s">
        <v>975</v>
      </c>
      <c r="K526" s="355" t="s">
        <v>29</v>
      </c>
      <c r="L526" s="416" t="s">
        <v>402</v>
      </c>
      <c r="M526" s="259" t="s">
        <v>402</v>
      </c>
      <c r="N526" s="260" t="s">
        <v>402</v>
      </c>
      <c r="O526" s="218"/>
    </row>
    <row r="527" spans="1:15" s="123" customFormat="1" ht="11" customHeight="1">
      <c r="A527" s="260">
        <v>3986</v>
      </c>
      <c r="B527" s="265">
        <v>41601</v>
      </c>
      <c r="C527" s="259" t="s">
        <v>1052</v>
      </c>
      <c r="D527" s="426"/>
      <c r="E527" s="413">
        <v>45.56</v>
      </c>
      <c r="F527" s="259" t="s">
        <v>1053</v>
      </c>
      <c r="G527" s="259" t="s">
        <v>106</v>
      </c>
      <c r="H527" s="355" t="s">
        <v>1071</v>
      </c>
      <c r="I527" s="91" t="s">
        <v>1110</v>
      </c>
      <c r="J527" s="259" t="s">
        <v>975</v>
      </c>
      <c r="K527" s="355" t="s">
        <v>34</v>
      </c>
      <c r="L527" s="416" t="s">
        <v>402</v>
      </c>
      <c r="M527" s="259" t="s">
        <v>402</v>
      </c>
      <c r="N527" s="260" t="s">
        <v>402</v>
      </c>
      <c r="O527" s="218"/>
    </row>
    <row r="528" spans="1:15" s="123" customFormat="1" ht="11" customHeight="1">
      <c r="A528" s="260">
        <v>3961</v>
      </c>
      <c r="B528" s="265">
        <v>41604</v>
      </c>
      <c r="C528" s="259" t="s">
        <v>733</v>
      </c>
      <c r="D528" s="262">
        <v>18</v>
      </c>
      <c r="E528" s="413">
        <f t="shared" ref="E528:E534" si="11">D528/6.0045</f>
        <v>2.9977516862353233</v>
      </c>
      <c r="F528" s="259" t="s">
        <v>609</v>
      </c>
      <c r="G528" s="91" t="s">
        <v>114</v>
      </c>
      <c r="H528" s="355" t="s">
        <v>1071</v>
      </c>
      <c r="I528" s="91" t="s">
        <v>1110</v>
      </c>
      <c r="J528" s="91" t="s">
        <v>291</v>
      </c>
      <c r="K528" s="356" t="s">
        <v>29</v>
      </c>
      <c r="L528" s="416" t="s">
        <v>402</v>
      </c>
      <c r="M528" s="259" t="s">
        <v>402</v>
      </c>
      <c r="N528" s="260" t="s">
        <v>402</v>
      </c>
      <c r="O528" s="218"/>
    </row>
    <row r="529" spans="1:15" s="123" customFormat="1" ht="11" customHeight="1">
      <c r="A529" s="260">
        <v>3962</v>
      </c>
      <c r="B529" s="265">
        <v>41605</v>
      </c>
      <c r="C529" s="259" t="s">
        <v>969</v>
      </c>
      <c r="D529" s="262">
        <v>900</v>
      </c>
      <c r="E529" s="413">
        <f t="shared" si="11"/>
        <v>149.88758431176618</v>
      </c>
      <c r="F529" s="259" t="s">
        <v>469</v>
      </c>
      <c r="G529" s="259" t="s">
        <v>108</v>
      </c>
      <c r="H529" s="355" t="s">
        <v>1071</v>
      </c>
      <c r="I529" s="91" t="s">
        <v>1110</v>
      </c>
      <c r="J529" s="259" t="s">
        <v>97</v>
      </c>
      <c r="K529" s="356" t="s">
        <v>29</v>
      </c>
      <c r="L529" s="416" t="s">
        <v>402</v>
      </c>
      <c r="M529" s="259" t="s">
        <v>402</v>
      </c>
      <c r="N529" s="260" t="s">
        <v>402</v>
      </c>
      <c r="O529" s="218"/>
    </row>
    <row r="530" spans="1:15" s="123" customFormat="1" ht="11" customHeight="1">
      <c r="A530" s="260">
        <v>3981</v>
      </c>
      <c r="B530" s="265">
        <v>41606</v>
      </c>
      <c r="C530" s="259" t="s">
        <v>970</v>
      </c>
      <c r="D530" s="262">
        <v>110</v>
      </c>
      <c r="E530" s="413">
        <f t="shared" si="11"/>
        <v>18.319593638104756</v>
      </c>
      <c r="F530" s="259" t="s">
        <v>179</v>
      </c>
      <c r="G530" s="91" t="s">
        <v>132</v>
      </c>
      <c r="H530" s="355" t="s">
        <v>1071</v>
      </c>
      <c r="I530" s="91" t="s">
        <v>1110</v>
      </c>
      <c r="J530" s="91" t="s">
        <v>291</v>
      </c>
      <c r="K530" s="355" t="s">
        <v>29</v>
      </c>
      <c r="L530" s="416" t="s">
        <v>402</v>
      </c>
      <c r="M530" s="259" t="s">
        <v>402</v>
      </c>
      <c r="N530" s="260" t="s">
        <v>402</v>
      </c>
      <c r="O530" s="218"/>
    </row>
    <row r="531" spans="1:15" s="123" customFormat="1" ht="11" customHeight="1">
      <c r="A531" s="260">
        <v>3952</v>
      </c>
      <c r="B531" s="265">
        <v>41608</v>
      </c>
      <c r="C531" s="259" t="s">
        <v>972</v>
      </c>
      <c r="D531" s="262">
        <v>7500</v>
      </c>
      <c r="E531" s="413">
        <f t="shared" si="11"/>
        <v>1249.0632025980515</v>
      </c>
      <c r="F531" s="259" t="s">
        <v>509</v>
      </c>
      <c r="G531" s="91" t="s">
        <v>51</v>
      </c>
      <c r="H531" s="355" t="s">
        <v>1071</v>
      </c>
      <c r="I531" s="268" t="s">
        <v>1109</v>
      </c>
      <c r="J531" s="91" t="s">
        <v>291</v>
      </c>
      <c r="K531" s="355" t="s">
        <v>32</v>
      </c>
      <c r="L531" s="416" t="s">
        <v>402</v>
      </c>
      <c r="M531" s="259" t="s">
        <v>402</v>
      </c>
      <c r="N531" s="260" t="s">
        <v>402</v>
      </c>
      <c r="O531" s="218"/>
    </row>
    <row r="532" spans="1:15" s="123" customFormat="1" ht="11" customHeight="1">
      <c r="A532" s="260">
        <v>3950</v>
      </c>
      <c r="B532" s="265">
        <v>41608</v>
      </c>
      <c r="C532" s="259" t="s">
        <v>974</v>
      </c>
      <c r="D532" s="262">
        <v>10000</v>
      </c>
      <c r="E532" s="413">
        <f t="shared" si="11"/>
        <v>1665.4176034640686</v>
      </c>
      <c r="F532" s="92" t="s">
        <v>511</v>
      </c>
      <c r="G532" s="91" t="s">
        <v>51</v>
      </c>
      <c r="H532" s="355" t="s">
        <v>1071</v>
      </c>
      <c r="I532" s="268" t="s">
        <v>1109</v>
      </c>
      <c r="J532" s="259" t="s">
        <v>175</v>
      </c>
      <c r="K532" s="355" t="s">
        <v>29</v>
      </c>
      <c r="L532" s="416" t="s">
        <v>402</v>
      </c>
      <c r="M532" s="259" t="s">
        <v>402</v>
      </c>
      <c r="N532" s="260" t="s">
        <v>402</v>
      </c>
      <c r="O532" s="218"/>
    </row>
    <row r="533" spans="1:15" s="123" customFormat="1" ht="11" customHeight="1">
      <c r="A533" s="260">
        <v>3951</v>
      </c>
      <c r="B533" s="265">
        <v>41608</v>
      </c>
      <c r="C533" s="259" t="s">
        <v>973</v>
      </c>
      <c r="D533" s="262">
        <v>4200</v>
      </c>
      <c r="E533" s="413">
        <f t="shared" si="11"/>
        <v>699.47539345490884</v>
      </c>
      <c r="F533" s="259" t="s">
        <v>510</v>
      </c>
      <c r="G533" s="91" t="s">
        <v>53</v>
      </c>
      <c r="H533" s="355" t="s">
        <v>1071</v>
      </c>
      <c r="I533" s="268" t="s">
        <v>1109</v>
      </c>
      <c r="J533" s="91" t="s">
        <v>291</v>
      </c>
      <c r="K533" s="356" t="s">
        <v>34</v>
      </c>
      <c r="L533" s="416" t="s">
        <v>402</v>
      </c>
      <c r="M533" s="259" t="s">
        <v>402</v>
      </c>
      <c r="N533" s="260" t="s">
        <v>402</v>
      </c>
      <c r="O533" s="218"/>
    </row>
    <row r="534" spans="1:15" s="123" customFormat="1" ht="11" customHeight="1">
      <c r="A534" s="260">
        <v>3976</v>
      </c>
      <c r="B534" s="265">
        <v>41608</v>
      </c>
      <c r="C534" s="259" t="s">
        <v>971</v>
      </c>
      <c r="D534" s="262">
        <v>600</v>
      </c>
      <c r="E534" s="413">
        <f t="shared" si="11"/>
        <v>99.925056207844108</v>
      </c>
      <c r="F534" s="259" t="s">
        <v>874</v>
      </c>
      <c r="G534" s="268" t="s">
        <v>1083</v>
      </c>
      <c r="H534" s="355" t="s">
        <v>1071</v>
      </c>
      <c r="I534" s="91" t="s">
        <v>1110</v>
      </c>
      <c r="J534" s="91" t="s">
        <v>291</v>
      </c>
      <c r="K534" s="356" t="s">
        <v>32</v>
      </c>
      <c r="L534" s="416" t="s">
        <v>402</v>
      </c>
      <c r="M534" s="259" t="s">
        <v>402</v>
      </c>
      <c r="N534" s="260" t="s">
        <v>402</v>
      </c>
      <c r="O534" s="218"/>
    </row>
    <row r="535" spans="1:15" s="123" customFormat="1" ht="11" customHeight="1">
      <c r="A535" s="351">
        <v>3996</v>
      </c>
      <c r="B535" s="353">
        <v>41609</v>
      </c>
      <c r="C535" s="264" t="s">
        <v>228</v>
      </c>
      <c r="D535" s="427"/>
      <c r="E535" s="413">
        <v>334.42</v>
      </c>
      <c r="F535" s="264" t="s">
        <v>489</v>
      </c>
      <c r="G535" s="91" t="s">
        <v>132</v>
      </c>
      <c r="H535" s="355" t="s">
        <v>1071</v>
      </c>
      <c r="I535" s="91" t="s">
        <v>1110</v>
      </c>
      <c r="J535" s="91" t="s">
        <v>291</v>
      </c>
      <c r="K535" s="356" t="s">
        <v>29</v>
      </c>
      <c r="L535" s="416" t="s">
        <v>402</v>
      </c>
      <c r="M535" s="264" t="s">
        <v>402</v>
      </c>
      <c r="N535" s="351" t="s">
        <v>402</v>
      </c>
      <c r="O535" s="88"/>
    </row>
    <row r="536" spans="1:15" s="123" customFormat="1" ht="11" customHeight="1">
      <c r="A536" s="351">
        <v>4025</v>
      </c>
      <c r="B536" s="353">
        <v>41609</v>
      </c>
      <c r="C536" s="264" t="s">
        <v>227</v>
      </c>
      <c r="D536" s="427"/>
      <c r="E536" s="413">
        <v>320</v>
      </c>
      <c r="F536" s="264" t="s">
        <v>874</v>
      </c>
      <c r="G536" s="268" t="s">
        <v>1083</v>
      </c>
      <c r="H536" s="355" t="s">
        <v>1071</v>
      </c>
      <c r="I536" s="91" t="s">
        <v>1110</v>
      </c>
      <c r="J536" s="264" t="s">
        <v>98</v>
      </c>
      <c r="K536" s="356" t="s">
        <v>29</v>
      </c>
      <c r="L536" s="417">
        <f>SUM(E437:E536)</f>
        <v>44269.831054873779</v>
      </c>
      <c r="M536" s="264" t="s">
        <v>402</v>
      </c>
      <c r="N536" s="351" t="s">
        <v>402</v>
      </c>
      <c r="O536" s="88"/>
    </row>
    <row r="537" spans="1:15" s="123" customFormat="1" ht="11" customHeight="1">
      <c r="A537" s="351">
        <v>4014</v>
      </c>
      <c r="B537" s="353">
        <v>41610</v>
      </c>
      <c r="C537" s="264" t="s">
        <v>229</v>
      </c>
      <c r="D537" s="278">
        <v>1137.24</v>
      </c>
      <c r="E537" s="413">
        <f>D537/6.0058</f>
        <v>189.35695494355457</v>
      </c>
      <c r="F537" s="264" t="s">
        <v>409</v>
      </c>
      <c r="G537" s="91" t="s">
        <v>52</v>
      </c>
      <c r="H537" s="355" t="s">
        <v>118</v>
      </c>
      <c r="I537" s="268" t="s">
        <v>1109</v>
      </c>
      <c r="J537" s="264" t="s">
        <v>832</v>
      </c>
      <c r="K537" s="355" t="s">
        <v>24</v>
      </c>
      <c r="L537" s="416" t="s">
        <v>402</v>
      </c>
      <c r="M537" s="264" t="s">
        <v>402</v>
      </c>
      <c r="N537" s="351" t="s">
        <v>402</v>
      </c>
      <c r="O537" s="88"/>
    </row>
    <row r="538" spans="1:15" s="123" customFormat="1" ht="11" customHeight="1">
      <c r="A538" s="351">
        <v>4039</v>
      </c>
      <c r="B538" s="353">
        <v>41610</v>
      </c>
      <c r="C538" s="264" t="s">
        <v>296</v>
      </c>
      <c r="D538" s="427"/>
      <c r="E538" s="413">
        <v>200</v>
      </c>
      <c r="F538" s="264" t="s">
        <v>185</v>
      </c>
      <c r="G538" s="264" t="s">
        <v>113</v>
      </c>
      <c r="H538" s="408" t="s">
        <v>123</v>
      </c>
      <c r="I538" s="91" t="s">
        <v>1110</v>
      </c>
      <c r="J538" s="264" t="s">
        <v>95</v>
      </c>
      <c r="K538" s="355"/>
      <c r="L538" s="416" t="s">
        <v>402</v>
      </c>
      <c r="M538" s="264" t="s">
        <v>402</v>
      </c>
      <c r="N538" s="351" t="s">
        <v>402</v>
      </c>
      <c r="O538" s="88"/>
    </row>
    <row r="539" spans="1:15" s="123" customFormat="1" ht="11" customHeight="1">
      <c r="A539" s="351">
        <v>4015</v>
      </c>
      <c r="B539" s="353">
        <v>41612</v>
      </c>
      <c r="C539" s="264" t="s">
        <v>230</v>
      </c>
      <c r="D539" s="278">
        <v>2096.4299999999998</v>
      </c>
      <c r="E539" s="413">
        <f t="shared" ref="E539:E556" si="12">D539/6.0058</f>
        <v>349.06756801758297</v>
      </c>
      <c r="F539" s="264" t="s">
        <v>409</v>
      </c>
      <c r="G539" s="91" t="s">
        <v>52</v>
      </c>
      <c r="H539" s="355" t="s">
        <v>118</v>
      </c>
      <c r="I539" s="268" t="s">
        <v>1109</v>
      </c>
      <c r="J539" s="264" t="s">
        <v>832</v>
      </c>
      <c r="K539" s="355" t="s">
        <v>24</v>
      </c>
      <c r="L539" s="416" t="s">
        <v>402</v>
      </c>
      <c r="M539" s="264" t="s">
        <v>402</v>
      </c>
      <c r="N539" s="351" t="s">
        <v>402</v>
      </c>
      <c r="O539" s="88"/>
    </row>
    <row r="540" spans="1:15" s="123" customFormat="1" ht="11" customHeight="1">
      <c r="A540" s="351">
        <v>3989</v>
      </c>
      <c r="B540" s="353">
        <v>41613</v>
      </c>
      <c r="C540" s="264" t="s">
        <v>1125</v>
      </c>
      <c r="D540" s="278">
        <v>13000</v>
      </c>
      <c r="E540" s="413">
        <f t="shared" si="12"/>
        <v>2164.5742448966002</v>
      </c>
      <c r="F540" s="264" t="s">
        <v>304</v>
      </c>
      <c r="G540" s="91" t="s">
        <v>108</v>
      </c>
      <c r="H540" s="355" t="s">
        <v>1071</v>
      </c>
      <c r="I540" s="91" t="s">
        <v>1110</v>
      </c>
      <c r="J540" s="91" t="s">
        <v>291</v>
      </c>
      <c r="K540" s="356" t="s">
        <v>30</v>
      </c>
      <c r="L540" s="416" t="s">
        <v>402</v>
      </c>
      <c r="M540" s="264" t="s">
        <v>402</v>
      </c>
      <c r="N540" s="351" t="s">
        <v>402</v>
      </c>
      <c r="O540" s="88"/>
    </row>
    <row r="541" spans="1:15" s="123" customFormat="1" ht="11" customHeight="1">
      <c r="A541" s="351">
        <v>3991</v>
      </c>
      <c r="B541" s="353">
        <v>41613</v>
      </c>
      <c r="C541" s="264" t="s">
        <v>1136</v>
      </c>
      <c r="D541" s="278">
        <v>6000</v>
      </c>
      <c r="E541" s="413">
        <f t="shared" si="12"/>
        <v>999.03426687535386</v>
      </c>
      <c r="F541" s="264" t="s">
        <v>404</v>
      </c>
      <c r="G541" s="91" t="s">
        <v>108</v>
      </c>
      <c r="H541" s="355" t="s">
        <v>1071</v>
      </c>
      <c r="I541" s="91" t="s">
        <v>1110</v>
      </c>
      <c r="J541" s="91" t="s">
        <v>291</v>
      </c>
      <c r="K541" s="355" t="s">
        <v>32</v>
      </c>
      <c r="L541" s="416" t="s">
        <v>402</v>
      </c>
      <c r="M541" s="264" t="s">
        <v>402</v>
      </c>
      <c r="N541" s="351" t="s">
        <v>402</v>
      </c>
      <c r="O541" s="88"/>
    </row>
    <row r="542" spans="1:15" s="123" customFormat="1" ht="11" customHeight="1">
      <c r="A542" s="351">
        <v>3990</v>
      </c>
      <c r="B542" s="353">
        <v>41613</v>
      </c>
      <c r="C542" s="264" t="s">
        <v>1141</v>
      </c>
      <c r="D542" s="278">
        <v>15000</v>
      </c>
      <c r="E542" s="413">
        <f t="shared" si="12"/>
        <v>2497.5856671883848</v>
      </c>
      <c r="F542" s="264" t="s">
        <v>135</v>
      </c>
      <c r="G542" s="92" t="s">
        <v>111</v>
      </c>
      <c r="H542" s="355" t="s">
        <v>118</v>
      </c>
      <c r="I542" s="91" t="s">
        <v>1110</v>
      </c>
      <c r="J542" s="91" t="s">
        <v>291</v>
      </c>
      <c r="K542" s="356" t="s">
        <v>25</v>
      </c>
      <c r="L542" s="416" t="s">
        <v>402</v>
      </c>
      <c r="M542" s="264" t="s">
        <v>402</v>
      </c>
      <c r="N542" s="351" t="s">
        <v>402</v>
      </c>
      <c r="O542" s="88"/>
    </row>
    <row r="543" spans="1:15" s="123" customFormat="1" ht="11" customHeight="1">
      <c r="A543" s="351">
        <v>3994</v>
      </c>
      <c r="B543" s="353">
        <v>41613</v>
      </c>
      <c r="C543" s="264" t="s">
        <v>234</v>
      </c>
      <c r="D543" s="278">
        <v>1148</v>
      </c>
      <c r="E543" s="413">
        <f t="shared" si="12"/>
        <v>191.14855639548438</v>
      </c>
      <c r="F543" s="264" t="s">
        <v>134</v>
      </c>
      <c r="G543" s="91" t="s">
        <v>132</v>
      </c>
      <c r="H543" s="355" t="s">
        <v>1071</v>
      </c>
      <c r="I543" s="91" t="s">
        <v>1110</v>
      </c>
      <c r="J543" s="264" t="s">
        <v>97</v>
      </c>
      <c r="K543" s="356" t="s">
        <v>29</v>
      </c>
      <c r="L543" s="416" t="s">
        <v>402</v>
      </c>
      <c r="M543" s="264" t="s">
        <v>402</v>
      </c>
      <c r="N543" s="351" t="s">
        <v>402</v>
      </c>
      <c r="O543" s="88"/>
    </row>
    <row r="544" spans="1:15" s="123" customFormat="1" ht="11" customHeight="1">
      <c r="A544" s="351">
        <v>3988</v>
      </c>
      <c r="B544" s="353">
        <v>41613</v>
      </c>
      <c r="C544" s="264" t="s">
        <v>136</v>
      </c>
      <c r="D544" s="278">
        <v>1418.43</v>
      </c>
      <c r="E544" s="413">
        <f t="shared" si="12"/>
        <v>236.17669586066805</v>
      </c>
      <c r="F544" s="264" t="s">
        <v>403</v>
      </c>
      <c r="G544" s="264" t="s">
        <v>106</v>
      </c>
      <c r="H544" s="355" t="s">
        <v>1071</v>
      </c>
      <c r="I544" s="91" t="s">
        <v>1110</v>
      </c>
      <c r="J544" s="91" t="s">
        <v>291</v>
      </c>
      <c r="K544" s="355" t="s">
        <v>34</v>
      </c>
      <c r="L544" s="416" t="s">
        <v>402</v>
      </c>
      <c r="M544" s="264" t="s">
        <v>402</v>
      </c>
      <c r="N544" s="351" t="s">
        <v>402</v>
      </c>
      <c r="O544" s="88"/>
    </row>
    <row r="545" spans="1:15" s="123" customFormat="1" ht="11" customHeight="1">
      <c r="A545" s="351">
        <v>4023</v>
      </c>
      <c r="B545" s="353">
        <v>41613</v>
      </c>
      <c r="C545" s="264" t="s">
        <v>231</v>
      </c>
      <c r="D545" s="278">
        <v>400</v>
      </c>
      <c r="E545" s="413">
        <f t="shared" si="12"/>
        <v>66.60228445835692</v>
      </c>
      <c r="F545" s="264" t="s">
        <v>232</v>
      </c>
      <c r="G545" s="268" t="s">
        <v>1083</v>
      </c>
      <c r="H545" s="355" t="s">
        <v>118</v>
      </c>
      <c r="I545" s="91" t="s">
        <v>1110</v>
      </c>
      <c r="J545" s="91" t="s">
        <v>291</v>
      </c>
      <c r="K545" s="355" t="s">
        <v>23</v>
      </c>
      <c r="L545" s="416" t="s">
        <v>402</v>
      </c>
      <c r="M545" s="264" t="s">
        <v>402</v>
      </c>
      <c r="N545" s="351" t="s">
        <v>402</v>
      </c>
      <c r="O545" s="88"/>
    </row>
    <row r="546" spans="1:15" s="123" customFormat="1" ht="11" customHeight="1">
      <c r="A546" s="351">
        <v>4022</v>
      </c>
      <c r="B546" s="353">
        <v>41613</v>
      </c>
      <c r="C546" s="264" t="s">
        <v>233</v>
      </c>
      <c r="D546" s="278">
        <v>7790</v>
      </c>
      <c r="E546" s="413">
        <f t="shared" si="12"/>
        <v>1297.079489826501</v>
      </c>
      <c r="F546" s="264" t="s">
        <v>920</v>
      </c>
      <c r="G546" s="268" t="s">
        <v>1083</v>
      </c>
      <c r="H546" s="355" t="s">
        <v>1071</v>
      </c>
      <c r="I546" s="268" t="s">
        <v>1109</v>
      </c>
      <c r="J546" s="91" t="s">
        <v>291</v>
      </c>
      <c r="K546" s="356" t="s">
        <v>29</v>
      </c>
      <c r="L546" s="416" t="s">
        <v>402</v>
      </c>
      <c r="M546" s="264" t="s">
        <v>402</v>
      </c>
      <c r="N546" s="351" t="s">
        <v>402</v>
      </c>
      <c r="O546" s="88"/>
    </row>
    <row r="547" spans="1:15" s="123" customFormat="1" ht="11" customHeight="1">
      <c r="A547" s="351">
        <v>4035</v>
      </c>
      <c r="B547" s="353">
        <v>41614</v>
      </c>
      <c r="C547" s="264" t="s">
        <v>1174</v>
      </c>
      <c r="D547" s="278">
        <v>18000</v>
      </c>
      <c r="E547" s="413">
        <f t="shared" si="12"/>
        <v>2997.1028006260617</v>
      </c>
      <c r="F547" s="264" t="s">
        <v>184</v>
      </c>
      <c r="G547" s="92" t="s">
        <v>111</v>
      </c>
      <c r="H547" s="355" t="s">
        <v>118</v>
      </c>
      <c r="I547" s="91" t="s">
        <v>1110</v>
      </c>
      <c r="J547" s="264" t="s">
        <v>97</v>
      </c>
      <c r="K547" s="355" t="s">
        <v>26</v>
      </c>
      <c r="L547" s="416" t="s">
        <v>402</v>
      </c>
      <c r="M547" s="264" t="s">
        <v>402</v>
      </c>
      <c r="N547" s="351" t="s">
        <v>402</v>
      </c>
      <c r="O547" s="88"/>
    </row>
    <row r="548" spans="1:15" s="123" customFormat="1" ht="11" customHeight="1">
      <c r="A548" s="351">
        <v>4036</v>
      </c>
      <c r="B548" s="353">
        <v>41614</v>
      </c>
      <c r="C548" s="264" t="s">
        <v>1180</v>
      </c>
      <c r="D548" s="278">
        <v>430</v>
      </c>
      <c r="E548" s="413">
        <f t="shared" si="12"/>
        <v>71.597455792733697</v>
      </c>
      <c r="F548" s="264" t="s">
        <v>137</v>
      </c>
      <c r="G548" s="92" t="s">
        <v>111</v>
      </c>
      <c r="H548" s="355" t="s">
        <v>118</v>
      </c>
      <c r="I548" s="91" t="s">
        <v>1110</v>
      </c>
      <c r="J548" s="264" t="s">
        <v>97</v>
      </c>
      <c r="K548" s="355" t="s">
        <v>25</v>
      </c>
      <c r="L548" s="416" t="s">
        <v>402</v>
      </c>
      <c r="M548" s="264" t="s">
        <v>402</v>
      </c>
      <c r="N548" s="351" t="s">
        <v>402</v>
      </c>
      <c r="O548" s="88"/>
    </row>
    <row r="549" spans="1:15" s="123" customFormat="1" ht="11" customHeight="1">
      <c r="A549" s="351">
        <v>3963</v>
      </c>
      <c r="B549" s="353">
        <v>41614</v>
      </c>
      <c r="C549" s="264" t="s">
        <v>138</v>
      </c>
      <c r="D549" s="278">
        <v>1099.5</v>
      </c>
      <c r="E549" s="413">
        <f t="shared" si="12"/>
        <v>183.0730294049086</v>
      </c>
      <c r="F549" s="264" t="s">
        <v>184</v>
      </c>
      <c r="G549" s="91" t="s">
        <v>132</v>
      </c>
      <c r="H549" s="355" t="s">
        <v>1071</v>
      </c>
      <c r="I549" s="91" t="s">
        <v>1110</v>
      </c>
      <c r="J549" s="264" t="s">
        <v>97</v>
      </c>
      <c r="K549" s="356" t="s">
        <v>39</v>
      </c>
      <c r="L549" s="416" t="s">
        <v>402</v>
      </c>
      <c r="M549" s="264" t="s">
        <v>402</v>
      </c>
      <c r="N549" s="351" t="s">
        <v>402</v>
      </c>
      <c r="O549" s="218"/>
    </row>
    <row r="550" spans="1:15" s="123" customFormat="1" ht="11" customHeight="1">
      <c r="A550" s="351">
        <v>4037</v>
      </c>
      <c r="B550" s="353">
        <v>41618</v>
      </c>
      <c r="C550" s="264" t="s">
        <v>1148</v>
      </c>
      <c r="D550" s="278">
        <v>4500</v>
      </c>
      <c r="E550" s="413">
        <f t="shared" si="12"/>
        <v>749.27570015651543</v>
      </c>
      <c r="F550" s="264" t="s">
        <v>183</v>
      </c>
      <c r="G550" s="92" t="s">
        <v>111</v>
      </c>
      <c r="H550" s="355" t="s">
        <v>118</v>
      </c>
      <c r="I550" s="91" t="s">
        <v>1110</v>
      </c>
      <c r="J550" s="264" t="s">
        <v>97</v>
      </c>
      <c r="K550" s="355" t="s">
        <v>24</v>
      </c>
      <c r="L550" s="416" t="s">
        <v>402</v>
      </c>
      <c r="M550" s="264" t="s">
        <v>402</v>
      </c>
      <c r="N550" s="351" t="s">
        <v>402</v>
      </c>
      <c r="O550" s="88"/>
    </row>
    <row r="551" spans="1:15" s="123" customFormat="1" ht="11" customHeight="1">
      <c r="A551" s="351">
        <v>3993</v>
      </c>
      <c r="B551" s="353">
        <v>41618</v>
      </c>
      <c r="C551" s="264" t="s">
        <v>139</v>
      </c>
      <c r="D551" s="278">
        <v>45</v>
      </c>
      <c r="E551" s="413">
        <f t="shared" si="12"/>
        <v>7.4927570015651543</v>
      </c>
      <c r="F551" s="264" t="s">
        <v>510</v>
      </c>
      <c r="G551" s="91" t="s">
        <v>132</v>
      </c>
      <c r="H551" s="355" t="s">
        <v>1071</v>
      </c>
      <c r="I551" s="91" t="s">
        <v>1110</v>
      </c>
      <c r="J551" s="91" t="s">
        <v>291</v>
      </c>
      <c r="K551" s="356" t="s">
        <v>29</v>
      </c>
      <c r="L551" s="416" t="s">
        <v>402</v>
      </c>
      <c r="M551" s="264" t="s">
        <v>402</v>
      </c>
      <c r="N551" s="351" t="s">
        <v>402</v>
      </c>
      <c r="O551" s="88"/>
    </row>
    <row r="552" spans="1:15" s="123" customFormat="1" ht="11" customHeight="1">
      <c r="A552" s="351">
        <v>3992</v>
      </c>
      <c r="B552" s="353">
        <v>41618</v>
      </c>
      <c r="C552" s="264" t="s">
        <v>140</v>
      </c>
      <c r="D552" s="278">
        <v>80</v>
      </c>
      <c r="E552" s="413">
        <f t="shared" si="12"/>
        <v>13.320456891671384</v>
      </c>
      <c r="F552" s="264" t="s">
        <v>403</v>
      </c>
      <c r="G552" s="264" t="s">
        <v>106</v>
      </c>
      <c r="H552" s="355" t="s">
        <v>1071</v>
      </c>
      <c r="I552" s="91" t="s">
        <v>1110</v>
      </c>
      <c r="J552" s="91" t="s">
        <v>291</v>
      </c>
      <c r="K552" s="355" t="s">
        <v>34</v>
      </c>
      <c r="L552" s="416" t="s">
        <v>402</v>
      </c>
      <c r="M552" s="264" t="s">
        <v>402</v>
      </c>
      <c r="N552" s="351" t="s">
        <v>402</v>
      </c>
      <c r="O552" s="88"/>
    </row>
    <row r="553" spans="1:15" s="123" customFormat="1" ht="11" customHeight="1">
      <c r="A553" s="351">
        <v>4018</v>
      </c>
      <c r="B553" s="353">
        <v>41619</v>
      </c>
      <c r="C553" s="264" t="s">
        <v>141</v>
      </c>
      <c r="D553" s="278">
        <v>480</v>
      </c>
      <c r="E553" s="413">
        <f t="shared" si="12"/>
        <v>79.922741350028303</v>
      </c>
      <c r="F553" s="264" t="s">
        <v>270</v>
      </c>
      <c r="G553" s="91" t="s">
        <v>52</v>
      </c>
      <c r="H553" s="355" t="s">
        <v>118</v>
      </c>
      <c r="I553" s="268" t="s">
        <v>1109</v>
      </c>
      <c r="J553" s="264" t="s">
        <v>832</v>
      </c>
      <c r="K553" s="355" t="s">
        <v>24</v>
      </c>
      <c r="L553" s="416" t="s">
        <v>402</v>
      </c>
      <c r="M553" s="264" t="s">
        <v>402</v>
      </c>
      <c r="N553" s="351" t="s">
        <v>402</v>
      </c>
      <c r="O553" s="88"/>
    </row>
    <row r="554" spans="1:15" s="123" customFormat="1" ht="11" customHeight="1">
      <c r="A554" s="351">
        <v>4017</v>
      </c>
      <c r="B554" s="353">
        <v>41619</v>
      </c>
      <c r="C554" s="264" t="s">
        <v>142</v>
      </c>
      <c r="D554" s="278">
        <v>480</v>
      </c>
      <c r="E554" s="413">
        <f t="shared" si="12"/>
        <v>79.922741350028303</v>
      </c>
      <c r="F554" s="264" t="s">
        <v>270</v>
      </c>
      <c r="G554" s="91" t="s">
        <v>52</v>
      </c>
      <c r="H554" s="355" t="s">
        <v>1071</v>
      </c>
      <c r="I554" s="268" t="s">
        <v>1109</v>
      </c>
      <c r="J554" s="264" t="s">
        <v>832</v>
      </c>
      <c r="K554" s="356" t="s">
        <v>29</v>
      </c>
      <c r="L554" s="416" t="s">
        <v>402</v>
      </c>
      <c r="M554" s="264" t="s">
        <v>402</v>
      </c>
      <c r="N554" s="351" t="s">
        <v>402</v>
      </c>
      <c r="O554" s="88"/>
    </row>
    <row r="555" spans="1:15" s="123" customFormat="1" ht="11" customHeight="1">
      <c r="A555" s="351">
        <v>4016</v>
      </c>
      <c r="B555" s="353">
        <v>41619</v>
      </c>
      <c r="C555" s="264" t="s">
        <v>143</v>
      </c>
      <c r="D555" s="278">
        <v>362.21</v>
      </c>
      <c r="E555" s="413">
        <f t="shared" si="12"/>
        <v>60.310033634153648</v>
      </c>
      <c r="F555" s="264" t="s">
        <v>181</v>
      </c>
      <c r="G555" s="91" t="s">
        <v>114</v>
      </c>
      <c r="H555" s="355" t="s">
        <v>118</v>
      </c>
      <c r="I555" s="268" t="s">
        <v>1109</v>
      </c>
      <c r="J555" s="264" t="s">
        <v>832</v>
      </c>
      <c r="K555" s="355" t="s">
        <v>23</v>
      </c>
      <c r="L555" s="416" t="s">
        <v>402</v>
      </c>
      <c r="M555" s="264" t="s">
        <v>402</v>
      </c>
      <c r="N555" s="351" t="s">
        <v>402</v>
      </c>
      <c r="O555" s="88"/>
    </row>
    <row r="556" spans="1:15" s="123" customFormat="1" ht="11" customHeight="1">
      <c r="A556" s="351">
        <v>4019</v>
      </c>
      <c r="B556" s="353">
        <v>41620</v>
      </c>
      <c r="C556" s="264" t="s">
        <v>145</v>
      </c>
      <c r="D556" s="278">
        <v>955.68</v>
      </c>
      <c r="E556" s="413">
        <f t="shared" si="12"/>
        <v>159.12617802790635</v>
      </c>
      <c r="F556" s="264" t="s">
        <v>920</v>
      </c>
      <c r="G556" s="91" t="s">
        <v>116</v>
      </c>
      <c r="H556" s="355" t="s">
        <v>118</v>
      </c>
      <c r="I556" s="268" t="s">
        <v>1109</v>
      </c>
      <c r="J556" s="264" t="s">
        <v>832</v>
      </c>
      <c r="K556" s="355" t="s">
        <v>23</v>
      </c>
      <c r="L556" s="416" t="s">
        <v>402</v>
      </c>
      <c r="M556" s="264" t="s">
        <v>402</v>
      </c>
      <c r="N556" s="351" t="s">
        <v>402</v>
      </c>
      <c r="O556" s="88"/>
    </row>
    <row r="557" spans="1:15" s="123" customFormat="1" ht="11" customHeight="1">
      <c r="A557" s="351">
        <v>4041</v>
      </c>
      <c r="B557" s="353">
        <v>41620</v>
      </c>
      <c r="C557" s="264" t="s">
        <v>144</v>
      </c>
      <c r="D557" s="427"/>
      <c r="E557" s="413">
        <v>12420</v>
      </c>
      <c r="F557" s="264" t="s">
        <v>357</v>
      </c>
      <c r="G557" s="264" t="s">
        <v>113</v>
      </c>
      <c r="H557" s="355" t="s">
        <v>118</v>
      </c>
      <c r="I557" s="268" t="s">
        <v>1109</v>
      </c>
      <c r="J557" s="264" t="s">
        <v>95</v>
      </c>
      <c r="K557" s="356" t="s">
        <v>27</v>
      </c>
      <c r="L557" s="416"/>
      <c r="M557" s="264" t="s">
        <v>402</v>
      </c>
      <c r="N557" s="351" t="s">
        <v>402</v>
      </c>
      <c r="O557" s="88"/>
    </row>
    <row r="558" spans="1:15" s="123" customFormat="1" ht="11" customHeight="1">
      <c r="A558" s="351">
        <v>4020</v>
      </c>
      <c r="B558" s="353">
        <v>41621</v>
      </c>
      <c r="C558" s="264" t="s">
        <v>952</v>
      </c>
      <c r="D558" s="278">
        <v>173.6</v>
      </c>
      <c r="E558" s="413">
        <f>D558/6.0058</f>
        <v>28.905391454926903</v>
      </c>
      <c r="F558" s="264" t="s">
        <v>563</v>
      </c>
      <c r="G558" s="91" t="s">
        <v>114</v>
      </c>
      <c r="H558" s="355" t="s">
        <v>118</v>
      </c>
      <c r="I558" s="268" t="s">
        <v>1109</v>
      </c>
      <c r="J558" s="264" t="s">
        <v>832</v>
      </c>
      <c r="K558" s="355" t="s">
        <v>23</v>
      </c>
      <c r="L558" s="416" t="s">
        <v>402</v>
      </c>
      <c r="M558" s="264" t="s">
        <v>402</v>
      </c>
      <c r="N558" s="351" t="s">
        <v>402</v>
      </c>
      <c r="O558" s="88"/>
    </row>
    <row r="559" spans="1:15" s="123" customFormat="1" ht="11" customHeight="1">
      <c r="A559" s="351">
        <v>3995</v>
      </c>
      <c r="B559" s="353">
        <v>41623</v>
      </c>
      <c r="C559" s="264" t="s">
        <v>146</v>
      </c>
      <c r="D559" s="278">
        <v>216.8</v>
      </c>
      <c r="E559" s="413">
        <f>D559/6.0058</f>
        <v>36.098438176429454</v>
      </c>
      <c r="F559" s="264" t="s">
        <v>147</v>
      </c>
      <c r="G559" s="91" t="s">
        <v>114</v>
      </c>
      <c r="H559" s="355" t="s">
        <v>1071</v>
      </c>
      <c r="I559" s="268" t="s">
        <v>1109</v>
      </c>
      <c r="J559" s="91" t="s">
        <v>291</v>
      </c>
      <c r="K559" s="356" t="s">
        <v>29</v>
      </c>
      <c r="L559" s="416" t="s">
        <v>402</v>
      </c>
      <c r="M559" s="264" t="s">
        <v>402</v>
      </c>
      <c r="N559" s="351" t="s">
        <v>402</v>
      </c>
      <c r="O559" s="88"/>
    </row>
    <row r="560" spans="1:15" s="123" customFormat="1" ht="11" customHeight="1">
      <c r="A560" s="351">
        <v>3997</v>
      </c>
      <c r="B560" s="353">
        <v>41626</v>
      </c>
      <c r="C560" s="264" t="s">
        <v>148</v>
      </c>
      <c r="D560" s="427"/>
      <c r="E560" s="413">
        <v>100.58</v>
      </c>
      <c r="F560" s="264" t="s">
        <v>149</v>
      </c>
      <c r="G560" s="268" t="s">
        <v>1083</v>
      </c>
      <c r="H560" s="355" t="s">
        <v>118</v>
      </c>
      <c r="I560" s="91" t="s">
        <v>1110</v>
      </c>
      <c r="J560" s="91" t="s">
        <v>291</v>
      </c>
      <c r="K560" s="356" t="s">
        <v>25</v>
      </c>
      <c r="L560" s="416" t="s">
        <v>402</v>
      </c>
      <c r="M560" s="264" t="s">
        <v>402</v>
      </c>
      <c r="N560" s="351" t="s">
        <v>402</v>
      </c>
      <c r="O560" s="88"/>
    </row>
    <row r="561" spans="1:15" s="123" customFormat="1" ht="11" customHeight="1">
      <c r="A561" s="351">
        <v>3998</v>
      </c>
      <c r="B561" s="353">
        <v>41627</v>
      </c>
      <c r="C561" s="264" t="s">
        <v>153</v>
      </c>
      <c r="D561" s="278">
        <v>5500</v>
      </c>
      <c r="E561" s="413">
        <f>D561/6.0058</f>
        <v>915.78141130240772</v>
      </c>
      <c r="F561" s="264" t="s">
        <v>509</v>
      </c>
      <c r="G561" s="91" t="s">
        <v>108</v>
      </c>
      <c r="H561" s="355" t="s">
        <v>1071</v>
      </c>
      <c r="I561" s="91" t="s">
        <v>1110</v>
      </c>
      <c r="J561" s="91" t="s">
        <v>291</v>
      </c>
      <c r="K561" s="355" t="s">
        <v>32</v>
      </c>
      <c r="L561" s="416" t="s">
        <v>402</v>
      </c>
      <c r="M561" s="264" t="s">
        <v>402</v>
      </c>
      <c r="N561" s="351" t="s">
        <v>402</v>
      </c>
      <c r="O561" s="88"/>
    </row>
    <row r="562" spans="1:15" s="123" customFormat="1" ht="11" customHeight="1">
      <c r="A562" s="351">
        <v>3999</v>
      </c>
      <c r="B562" s="353">
        <v>41627</v>
      </c>
      <c r="C562" s="264" t="s">
        <v>152</v>
      </c>
      <c r="D562" s="278">
        <v>3000</v>
      </c>
      <c r="E562" s="413">
        <f>D562/6.0058</f>
        <v>499.51713343767693</v>
      </c>
      <c r="F562" s="264" t="s">
        <v>510</v>
      </c>
      <c r="G562" s="91" t="s">
        <v>108</v>
      </c>
      <c r="H562" s="355" t="s">
        <v>118</v>
      </c>
      <c r="I562" s="91" t="s">
        <v>1110</v>
      </c>
      <c r="J562" s="91" t="s">
        <v>291</v>
      </c>
      <c r="K562" s="355" t="s">
        <v>24</v>
      </c>
      <c r="L562" s="416" t="s">
        <v>402</v>
      </c>
      <c r="M562" s="264" t="s">
        <v>402</v>
      </c>
      <c r="N562" s="351" t="s">
        <v>402</v>
      </c>
      <c r="O562" s="88"/>
    </row>
    <row r="563" spans="1:15" s="123" customFormat="1" ht="11" customHeight="1">
      <c r="A563" s="351">
        <v>4021</v>
      </c>
      <c r="B563" s="353">
        <v>41627</v>
      </c>
      <c r="C563" s="264" t="s">
        <v>150</v>
      </c>
      <c r="D563" s="278">
        <v>20</v>
      </c>
      <c r="E563" s="413">
        <f>D563/6.0058</f>
        <v>3.330114222917846</v>
      </c>
      <c r="F563" s="264" t="s">
        <v>151</v>
      </c>
      <c r="G563" s="91" t="s">
        <v>114</v>
      </c>
      <c r="H563" s="355" t="s">
        <v>1071</v>
      </c>
      <c r="I563" s="268" t="s">
        <v>1109</v>
      </c>
      <c r="J563" s="264" t="s">
        <v>832</v>
      </c>
      <c r="K563" s="356" t="s">
        <v>29</v>
      </c>
      <c r="L563" s="416" t="s">
        <v>402</v>
      </c>
      <c r="M563" s="264" t="s">
        <v>402</v>
      </c>
      <c r="N563" s="351" t="s">
        <v>402</v>
      </c>
      <c r="O563" s="88"/>
    </row>
    <row r="564" spans="1:15" s="123" customFormat="1" ht="11" customHeight="1">
      <c r="A564" s="351">
        <v>4000</v>
      </c>
      <c r="B564" s="353">
        <v>41631</v>
      </c>
      <c r="C564" s="264" t="s">
        <v>160</v>
      </c>
      <c r="D564" s="427"/>
      <c r="E564" s="413">
        <v>2500</v>
      </c>
      <c r="F564" s="264" t="s">
        <v>515</v>
      </c>
      <c r="G564" s="92" t="s">
        <v>109</v>
      </c>
      <c r="H564" s="355" t="s">
        <v>1072</v>
      </c>
      <c r="I564" s="91" t="s">
        <v>1110</v>
      </c>
      <c r="J564" s="264" t="s">
        <v>97</v>
      </c>
      <c r="K564" s="355"/>
      <c r="L564" s="416" t="s">
        <v>402</v>
      </c>
      <c r="M564" s="264" t="s">
        <v>402</v>
      </c>
      <c r="N564" s="351" t="s">
        <v>402</v>
      </c>
      <c r="O564" s="88"/>
    </row>
    <row r="565" spans="1:15" s="123" customFormat="1" ht="11" customHeight="1">
      <c r="A565" s="351">
        <v>4003</v>
      </c>
      <c r="B565" s="353">
        <v>41631</v>
      </c>
      <c r="C565" s="264" t="s">
        <v>154</v>
      </c>
      <c r="D565" s="427"/>
      <c r="E565" s="413">
        <v>2500</v>
      </c>
      <c r="F565" s="264" t="s">
        <v>155</v>
      </c>
      <c r="G565" s="92" t="s">
        <v>109</v>
      </c>
      <c r="H565" s="355" t="s">
        <v>1072</v>
      </c>
      <c r="I565" s="91" t="s">
        <v>1110</v>
      </c>
      <c r="J565" s="264" t="s">
        <v>97</v>
      </c>
      <c r="K565" s="355"/>
      <c r="L565" s="416" t="s">
        <v>402</v>
      </c>
      <c r="M565" s="264" t="s">
        <v>402</v>
      </c>
      <c r="N565" s="351" t="s">
        <v>402</v>
      </c>
      <c r="O565" s="88"/>
    </row>
    <row r="566" spans="1:15" s="123" customFormat="1" ht="11" customHeight="1">
      <c r="A566" s="351">
        <v>4001</v>
      </c>
      <c r="B566" s="353">
        <v>41631</v>
      </c>
      <c r="C566" s="264" t="s">
        <v>158</v>
      </c>
      <c r="D566" s="427"/>
      <c r="E566" s="413">
        <v>2500</v>
      </c>
      <c r="F566" s="264" t="s">
        <v>159</v>
      </c>
      <c r="G566" s="92" t="s">
        <v>109</v>
      </c>
      <c r="H566" s="355" t="s">
        <v>1072</v>
      </c>
      <c r="I566" s="91" t="s">
        <v>1110</v>
      </c>
      <c r="J566" s="264" t="s">
        <v>97</v>
      </c>
      <c r="K566" s="355"/>
      <c r="L566" s="416" t="s">
        <v>402</v>
      </c>
      <c r="M566" s="264" t="s">
        <v>402</v>
      </c>
      <c r="N566" s="351" t="s">
        <v>402</v>
      </c>
      <c r="O566" s="88"/>
    </row>
    <row r="567" spans="1:15" s="123" customFormat="1" ht="11" customHeight="1">
      <c r="A567" s="351">
        <v>4002</v>
      </c>
      <c r="B567" s="353">
        <v>41631</v>
      </c>
      <c r="C567" s="264" t="s">
        <v>156</v>
      </c>
      <c r="D567" s="427"/>
      <c r="E567" s="413">
        <v>2500</v>
      </c>
      <c r="F567" s="264" t="s">
        <v>157</v>
      </c>
      <c r="G567" s="92" t="s">
        <v>109</v>
      </c>
      <c r="H567" s="355" t="s">
        <v>1072</v>
      </c>
      <c r="I567" s="91" t="s">
        <v>1110</v>
      </c>
      <c r="J567" s="264" t="s">
        <v>97</v>
      </c>
      <c r="K567" s="355"/>
      <c r="L567" s="416" t="s">
        <v>402</v>
      </c>
      <c r="M567" s="264" t="s">
        <v>402</v>
      </c>
      <c r="N567" s="351" t="s">
        <v>402</v>
      </c>
      <c r="O567" s="88"/>
    </row>
    <row r="568" spans="1:15" s="123" customFormat="1" ht="11" customHeight="1">
      <c r="A568" s="351">
        <v>4038</v>
      </c>
      <c r="B568" s="353">
        <v>41631</v>
      </c>
      <c r="C568" s="264" t="s">
        <v>1158</v>
      </c>
      <c r="D568" s="278">
        <v>4500</v>
      </c>
      <c r="E568" s="413">
        <f>D568/6.0058</f>
        <v>749.27570015651543</v>
      </c>
      <c r="F568" s="264" t="s">
        <v>182</v>
      </c>
      <c r="G568" s="92" t="s">
        <v>111</v>
      </c>
      <c r="H568" s="355" t="s">
        <v>118</v>
      </c>
      <c r="I568" s="91" t="s">
        <v>1110</v>
      </c>
      <c r="J568" s="264" t="s">
        <v>97</v>
      </c>
      <c r="K568" s="355" t="s">
        <v>24</v>
      </c>
      <c r="L568" s="416" t="s">
        <v>402</v>
      </c>
      <c r="M568" s="264" t="s">
        <v>402</v>
      </c>
      <c r="N568" s="351" t="s">
        <v>402</v>
      </c>
      <c r="O568" s="88"/>
    </row>
    <row r="569" spans="1:15" s="123" customFormat="1" ht="11" customHeight="1">
      <c r="A569" s="351">
        <v>4034</v>
      </c>
      <c r="B569" s="353">
        <v>41632</v>
      </c>
      <c r="C569" s="264" t="s">
        <v>161</v>
      </c>
      <c r="D569" s="278">
        <v>50</v>
      </c>
      <c r="E569" s="413">
        <f>D569/6.0058</f>
        <v>8.3252855572946149</v>
      </c>
      <c r="F569" s="264" t="s">
        <v>179</v>
      </c>
      <c r="G569" s="91" t="s">
        <v>132</v>
      </c>
      <c r="H569" s="355" t="s">
        <v>118</v>
      </c>
      <c r="I569" s="91" t="s">
        <v>1110</v>
      </c>
      <c r="J569" s="91" t="s">
        <v>291</v>
      </c>
      <c r="K569" s="355" t="s">
        <v>23</v>
      </c>
      <c r="L569" s="416" t="s">
        <v>402</v>
      </c>
      <c r="M569" s="264" t="s">
        <v>402</v>
      </c>
      <c r="N569" s="351" t="s">
        <v>402</v>
      </c>
      <c r="O569" s="88"/>
    </row>
    <row r="570" spans="1:15" s="123" customFormat="1" ht="11" customHeight="1">
      <c r="A570" s="351">
        <v>4004</v>
      </c>
      <c r="B570" s="353">
        <v>41633</v>
      </c>
      <c r="C570" s="264" t="s">
        <v>163</v>
      </c>
      <c r="D570" s="278">
        <v>298</v>
      </c>
      <c r="E570" s="413">
        <f>D570/6.0058</f>
        <v>49.61870192147591</v>
      </c>
      <c r="F570" s="264" t="s">
        <v>638</v>
      </c>
      <c r="G570" s="91" t="s">
        <v>114</v>
      </c>
      <c r="H570" s="355" t="s">
        <v>1071</v>
      </c>
      <c r="I570" s="268" t="s">
        <v>1109</v>
      </c>
      <c r="J570" s="91" t="s">
        <v>291</v>
      </c>
      <c r="K570" s="356" t="s">
        <v>29</v>
      </c>
      <c r="L570" s="416" t="s">
        <v>402</v>
      </c>
      <c r="M570" s="264" t="s">
        <v>402</v>
      </c>
      <c r="N570" s="351" t="s">
        <v>402</v>
      </c>
      <c r="O570" s="88"/>
    </row>
    <row r="571" spans="1:15" s="123" customFormat="1" ht="11" customHeight="1">
      <c r="A571" s="351">
        <v>4005</v>
      </c>
      <c r="B571" s="353">
        <v>41633</v>
      </c>
      <c r="C571" s="264" t="s">
        <v>162</v>
      </c>
      <c r="D571" s="278">
        <v>1000</v>
      </c>
      <c r="E571" s="413">
        <f>D571/6.0058</f>
        <v>166.50571114589232</v>
      </c>
      <c r="F571" s="264" t="s">
        <v>331</v>
      </c>
      <c r="G571" s="264" t="s">
        <v>113</v>
      </c>
      <c r="H571" s="355" t="s">
        <v>1071</v>
      </c>
      <c r="I571" s="91" t="s">
        <v>1110</v>
      </c>
      <c r="J571" s="264" t="s">
        <v>97</v>
      </c>
      <c r="K571" s="356" t="s">
        <v>32</v>
      </c>
      <c r="L571" s="416" t="s">
        <v>402</v>
      </c>
      <c r="M571" s="264" t="s">
        <v>402</v>
      </c>
      <c r="N571" s="351" t="s">
        <v>402</v>
      </c>
      <c r="O571" s="88"/>
    </row>
    <row r="572" spans="1:15" s="123" customFormat="1" ht="11" customHeight="1">
      <c r="A572" s="351">
        <v>4013</v>
      </c>
      <c r="B572" s="353">
        <v>41634</v>
      </c>
      <c r="C572" s="264" t="s">
        <v>164</v>
      </c>
      <c r="D572" s="427"/>
      <c r="E572" s="413">
        <v>3750</v>
      </c>
      <c r="F572" s="264" t="s">
        <v>165</v>
      </c>
      <c r="G572" s="92" t="s">
        <v>109</v>
      </c>
      <c r="H572" s="355" t="s">
        <v>1072</v>
      </c>
      <c r="I572" s="91" t="s">
        <v>1110</v>
      </c>
      <c r="J572" s="264" t="s">
        <v>97</v>
      </c>
      <c r="K572" s="355"/>
      <c r="L572" s="416" t="s">
        <v>402</v>
      </c>
      <c r="M572" s="264" t="s">
        <v>402</v>
      </c>
      <c r="N572" s="351" t="s">
        <v>402</v>
      </c>
      <c r="O572" s="88"/>
    </row>
    <row r="573" spans="1:15" s="123" customFormat="1" ht="11" customHeight="1">
      <c r="A573" s="351">
        <v>4006</v>
      </c>
      <c r="B573" s="353">
        <v>41638</v>
      </c>
      <c r="C573" s="264" t="s">
        <v>1129</v>
      </c>
      <c r="D573" s="278">
        <v>12000</v>
      </c>
      <c r="E573" s="413">
        <f t="shared" ref="E573:E579" si="13">D573/6.0058</f>
        <v>1998.0685337507077</v>
      </c>
      <c r="F573" s="264" t="s">
        <v>404</v>
      </c>
      <c r="G573" s="91" t="s">
        <v>108</v>
      </c>
      <c r="H573" s="355" t="s">
        <v>1071</v>
      </c>
      <c r="I573" s="91" t="s">
        <v>1110</v>
      </c>
      <c r="J573" s="91" t="s">
        <v>291</v>
      </c>
      <c r="K573" s="355" t="s">
        <v>37</v>
      </c>
      <c r="L573" s="416" t="s">
        <v>402</v>
      </c>
      <c r="M573" s="264" t="s">
        <v>402</v>
      </c>
      <c r="N573" s="351" t="s">
        <v>402</v>
      </c>
      <c r="O573" s="88"/>
    </row>
    <row r="574" spans="1:15" s="123" customFormat="1" ht="11" customHeight="1">
      <c r="A574" s="351">
        <v>4007</v>
      </c>
      <c r="B574" s="353">
        <v>41638</v>
      </c>
      <c r="C574" s="264" t="s">
        <v>733</v>
      </c>
      <c r="D574" s="278">
        <v>29</v>
      </c>
      <c r="E574" s="413">
        <f t="shared" si="13"/>
        <v>4.8286656232308767</v>
      </c>
      <c r="F574" s="264" t="s">
        <v>609</v>
      </c>
      <c r="G574" s="91" t="s">
        <v>114</v>
      </c>
      <c r="H574" s="355" t="s">
        <v>1071</v>
      </c>
      <c r="I574" s="91" t="s">
        <v>1110</v>
      </c>
      <c r="J574" s="91" t="s">
        <v>291</v>
      </c>
      <c r="K574" s="356" t="s">
        <v>29</v>
      </c>
      <c r="L574" s="416" t="s">
        <v>402</v>
      </c>
      <c r="M574" s="264" t="s">
        <v>402</v>
      </c>
      <c r="N574" s="351" t="s">
        <v>402</v>
      </c>
      <c r="O574" s="88"/>
    </row>
    <row r="575" spans="1:15" s="123" customFormat="1" ht="11" customHeight="1">
      <c r="A575" s="351">
        <v>4009</v>
      </c>
      <c r="B575" s="353">
        <v>41639</v>
      </c>
      <c r="C575" s="264" t="s">
        <v>173</v>
      </c>
      <c r="D575" s="278">
        <v>7500</v>
      </c>
      <c r="E575" s="413">
        <f t="shared" si="13"/>
        <v>1248.7928335941924</v>
      </c>
      <c r="F575" s="264" t="s">
        <v>509</v>
      </c>
      <c r="G575" s="91" t="s">
        <v>51</v>
      </c>
      <c r="H575" s="355" t="s">
        <v>118</v>
      </c>
      <c r="I575" s="268" t="s">
        <v>1109</v>
      </c>
      <c r="J575" s="91" t="s">
        <v>291</v>
      </c>
      <c r="K575" s="355" t="s">
        <v>24</v>
      </c>
      <c r="L575" s="416" t="s">
        <v>402</v>
      </c>
      <c r="M575" s="264" t="s">
        <v>402</v>
      </c>
      <c r="N575" s="351" t="s">
        <v>402</v>
      </c>
      <c r="O575" s="88"/>
    </row>
    <row r="576" spans="1:15" s="123" customFormat="1" ht="11" customHeight="1">
      <c r="A576" s="351">
        <v>4008</v>
      </c>
      <c r="B576" s="353">
        <v>41639</v>
      </c>
      <c r="C576" s="264" t="s">
        <v>174</v>
      </c>
      <c r="D576" s="278">
        <v>10000</v>
      </c>
      <c r="E576" s="413">
        <f t="shared" si="13"/>
        <v>1665.0571114589231</v>
      </c>
      <c r="F576" s="92" t="s">
        <v>511</v>
      </c>
      <c r="G576" s="91" t="s">
        <v>51</v>
      </c>
      <c r="H576" s="355" t="s">
        <v>1071</v>
      </c>
      <c r="I576" s="268" t="s">
        <v>1109</v>
      </c>
      <c r="J576" s="264" t="s">
        <v>175</v>
      </c>
      <c r="K576" s="355" t="s">
        <v>29</v>
      </c>
      <c r="L576" s="416" t="s">
        <v>402</v>
      </c>
      <c r="M576" s="264" t="s">
        <v>402</v>
      </c>
      <c r="N576" s="351" t="s">
        <v>402</v>
      </c>
      <c r="O576" s="88"/>
    </row>
    <row r="577" spans="1:15" s="123" customFormat="1" ht="11" customHeight="1">
      <c r="A577" s="351">
        <v>4010</v>
      </c>
      <c r="B577" s="353">
        <v>41639</v>
      </c>
      <c r="C577" s="264" t="s">
        <v>172</v>
      </c>
      <c r="D577" s="278">
        <v>4200</v>
      </c>
      <c r="E577" s="413">
        <f t="shared" si="13"/>
        <v>699.32398681274765</v>
      </c>
      <c r="F577" s="264" t="s">
        <v>510</v>
      </c>
      <c r="G577" s="91" t="s">
        <v>53</v>
      </c>
      <c r="H577" s="355" t="s">
        <v>1071</v>
      </c>
      <c r="I577" s="268" t="s">
        <v>1109</v>
      </c>
      <c r="J577" s="91" t="s">
        <v>291</v>
      </c>
      <c r="K577" s="356" t="s">
        <v>34</v>
      </c>
      <c r="L577" s="416" t="s">
        <v>402</v>
      </c>
      <c r="M577" s="264" t="s">
        <v>402</v>
      </c>
      <c r="N577" s="351" t="s">
        <v>402</v>
      </c>
      <c r="O577" s="88"/>
    </row>
    <row r="578" spans="1:15" s="123" customFormat="1" ht="11" customHeight="1">
      <c r="A578" s="351">
        <v>4011</v>
      </c>
      <c r="B578" s="353">
        <v>41639</v>
      </c>
      <c r="C578" s="264" t="s">
        <v>171</v>
      </c>
      <c r="D578" s="278">
        <v>5500</v>
      </c>
      <c r="E578" s="413">
        <f t="shared" si="13"/>
        <v>915.78141130240772</v>
      </c>
      <c r="F578" s="264" t="s">
        <v>509</v>
      </c>
      <c r="G578" s="91" t="s">
        <v>108</v>
      </c>
      <c r="H578" s="355" t="s">
        <v>1071</v>
      </c>
      <c r="I578" s="91" t="s">
        <v>1110</v>
      </c>
      <c r="J578" s="91" t="s">
        <v>291</v>
      </c>
      <c r="K578" s="355" t="s">
        <v>32</v>
      </c>
      <c r="L578" s="416" t="s">
        <v>402</v>
      </c>
      <c r="M578" s="264" t="s">
        <v>402</v>
      </c>
      <c r="N578" s="351" t="s">
        <v>402</v>
      </c>
      <c r="O578" s="88"/>
    </row>
    <row r="579" spans="1:15" s="123" customFormat="1" ht="11" customHeight="1">
      <c r="A579" s="351">
        <v>4031</v>
      </c>
      <c r="B579" s="353">
        <v>41639</v>
      </c>
      <c r="C579" s="264" t="s">
        <v>1118</v>
      </c>
      <c r="D579" s="278">
        <v>13000</v>
      </c>
      <c r="E579" s="413">
        <f t="shared" si="13"/>
        <v>2164.5742448966002</v>
      </c>
      <c r="F579" s="264" t="s">
        <v>304</v>
      </c>
      <c r="G579" s="91" t="s">
        <v>108</v>
      </c>
      <c r="H579" s="355" t="s">
        <v>118</v>
      </c>
      <c r="I579" s="91" t="s">
        <v>1110</v>
      </c>
      <c r="J579" s="91" t="s">
        <v>291</v>
      </c>
      <c r="K579" s="355" t="s">
        <v>25</v>
      </c>
      <c r="L579" s="416" t="s">
        <v>402</v>
      </c>
      <c r="M579" s="264" t="s">
        <v>402</v>
      </c>
      <c r="N579" s="351" t="s">
        <v>402</v>
      </c>
      <c r="O579" s="88"/>
    </row>
    <row r="580" spans="1:15" s="123" customFormat="1" ht="11" customHeight="1">
      <c r="A580" s="351">
        <v>4032</v>
      </c>
      <c r="B580" s="353">
        <v>41639</v>
      </c>
      <c r="C580" s="264" t="s">
        <v>1139</v>
      </c>
      <c r="D580" s="427"/>
      <c r="E580" s="413">
        <v>2625</v>
      </c>
      <c r="F580" s="264" t="s">
        <v>168</v>
      </c>
      <c r="G580" s="91" t="s">
        <v>108</v>
      </c>
      <c r="H580" s="355" t="s">
        <v>1071</v>
      </c>
      <c r="I580" s="91" t="s">
        <v>1110</v>
      </c>
      <c r="J580" s="91" t="s">
        <v>291</v>
      </c>
      <c r="K580" s="355" t="s">
        <v>30</v>
      </c>
      <c r="L580" s="416" t="s">
        <v>402</v>
      </c>
      <c r="M580" s="264" t="s">
        <v>402</v>
      </c>
      <c r="N580" s="351" t="s">
        <v>402</v>
      </c>
      <c r="O580" s="88"/>
    </row>
    <row r="581" spans="1:15" s="123" customFormat="1" ht="11" customHeight="1">
      <c r="A581" s="351">
        <v>4012</v>
      </c>
      <c r="B581" s="353">
        <v>41639</v>
      </c>
      <c r="C581" s="264" t="s">
        <v>170</v>
      </c>
      <c r="D581" s="278">
        <v>3000</v>
      </c>
      <c r="E581" s="413">
        <f>D581/6.0058</f>
        <v>499.51713343767693</v>
      </c>
      <c r="F581" s="264" t="s">
        <v>510</v>
      </c>
      <c r="G581" s="91" t="s">
        <v>108</v>
      </c>
      <c r="H581" s="355" t="s">
        <v>118</v>
      </c>
      <c r="I581" s="91" t="s">
        <v>1110</v>
      </c>
      <c r="J581" s="264" t="s">
        <v>188</v>
      </c>
      <c r="K581" s="355" t="s">
        <v>24</v>
      </c>
      <c r="L581" s="416" t="s">
        <v>402</v>
      </c>
      <c r="M581" s="264" t="s">
        <v>402</v>
      </c>
      <c r="N581" s="351" t="s">
        <v>402</v>
      </c>
      <c r="O581" s="88"/>
    </row>
    <row r="582" spans="1:15" s="123" customFormat="1" ht="11" customHeight="1">
      <c r="A582" s="351">
        <v>4043</v>
      </c>
      <c r="B582" s="353">
        <v>41639</v>
      </c>
      <c r="C582" s="272" t="s">
        <v>54</v>
      </c>
      <c r="D582" s="427"/>
      <c r="E582" s="413">
        <v>10000</v>
      </c>
      <c r="F582" s="264" t="s">
        <v>166</v>
      </c>
      <c r="G582" s="92" t="s">
        <v>109</v>
      </c>
      <c r="H582" s="355" t="s">
        <v>1072</v>
      </c>
      <c r="I582" s="91" t="s">
        <v>1110</v>
      </c>
      <c r="J582" s="264" t="s">
        <v>95</v>
      </c>
      <c r="K582" s="355"/>
      <c r="L582" s="416" t="s">
        <v>402</v>
      </c>
      <c r="M582" s="264" t="s">
        <v>402</v>
      </c>
      <c r="N582" s="351" t="s">
        <v>402</v>
      </c>
      <c r="O582" s="88"/>
    </row>
    <row r="583" spans="1:15" s="123" customFormat="1" ht="11" customHeight="1">
      <c r="A583" s="351">
        <v>4040</v>
      </c>
      <c r="B583" s="353">
        <v>41639</v>
      </c>
      <c r="C583" s="264" t="s">
        <v>167</v>
      </c>
      <c r="D583" s="427"/>
      <c r="E583" s="413">
        <v>150</v>
      </c>
      <c r="F583" s="264" t="s">
        <v>363</v>
      </c>
      <c r="G583" s="91" t="s">
        <v>114</v>
      </c>
      <c r="H583" s="355" t="s">
        <v>1071</v>
      </c>
      <c r="I583" s="91" t="s">
        <v>1110</v>
      </c>
      <c r="J583" s="264" t="s">
        <v>95</v>
      </c>
      <c r="K583" s="356" t="s">
        <v>29</v>
      </c>
      <c r="L583" s="416" t="s">
        <v>402</v>
      </c>
      <c r="M583" s="264" t="s">
        <v>402</v>
      </c>
      <c r="N583" s="351" t="s">
        <v>402</v>
      </c>
      <c r="O583" s="88"/>
    </row>
    <row r="584" spans="1:15" s="123" customFormat="1" ht="11" customHeight="1">
      <c r="A584" s="351">
        <v>4033</v>
      </c>
      <c r="B584" s="353">
        <v>41639</v>
      </c>
      <c r="C584" s="264" t="s">
        <v>1140</v>
      </c>
      <c r="D584" s="278">
        <v>16500</v>
      </c>
      <c r="E584" s="413">
        <f t="shared" ref="E584:E589" si="14">D584/6.0058</f>
        <v>2747.344233907223</v>
      </c>
      <c r="F584" s="264" t="s">
        <v>135</v>
      </c>
      <c r="G584" s="92" t="s">
        <v>111</v>
      </c>
      <c r="H584" s="355" t="s">
        <v>118</v>
      </c>
      <c r="I584" s="91" t="s">
        <v>1110</v>
      </c>
      <c r="J584" s="91" t="s">
        <v>291</v>
      </c>
      <c r="K584" s="356" t="s">
        <v>25</v>
      </c>
      <c r="L584" s="416" t="s">
        <v>402</v>
      </c>
      <c r="M584" s="264" t="s">
        <v>402</v>
      </c>
      <c r="N584" s="351" t="s">
        <v>402</v>
      </c>
      <c r="O584" s="88"/>
    </row>
    <row r="585" spans="1:15" s="123" customFormat="1" ht="11" customHeight="1">
      <c r="A585" s="351">
        <v>4029</v>
      </c>
      <c r="B585" s="353">
        <v>41639</v>
      </c>
      <c r="C585" s="264" t="s">
        <v>1144</v>
      </c>
      <c r="D585" s="278">
        <v>4500</v>
      </c>
      <c r="E585" s="413">
        <f t="shared" si="14"/>
        <v>749.27570015651543</v>
      </c>
      <c r="F585" s="264" t="s">
        <v>183</v>
      </c>
      <c r="G585" s="92" t="s">
        <v>111</v>
      </c>
      <c r="H585" s="355" t="s">
        <v>118</v>
      </c>
      <c r="I585" s="91" t="s">
        <v>1110</v>
      </c>
      <c r="J585" s="264" t="s">
        <v>97</v>
      </c>
      <c r="K585" s="355" t="s">
        <v>24</v>
      </c>
      <c r="L585" s="416" t="s">
        <v>402</v>
      </c>
      <c r="M585" s="264" t="s">
        <v>402</v>
      </c>
      <c r="N585" s="351" t="s">
        <v>402</v>
      </c>
      <c r="O585" s="88"/>
    </row>
    <row r="586" spans="1:15" s="123" customFormat="1" ht="11" customHeight="1">
      <c r="A586" s="351">
        <v>4028</v>
      </c>
      <c r="B586" s="353">
        <v>41639</v>
      </c>
      <c r="C586" s="264" t="s">
        <v>1154</v>
      </c>
      <c r="D586" s="278">
        <v>4500</v>
      </c>
      <c r="E586" s="413">
        <f t="shared" si="14"/>
        <v>749.27570015651543</v>
      </c>
      <c r="F586" s="264" t="s">
        <v>182</v>
      </c>
      <c r="G586" s="92" t="s">
        <v>111</v>
      </c>
      <c r="H586" s="355" t="s">
        <v>118</v>
      </c>
      <c r="I586" s="91" t="s">
        <v>1110</v>
      </c>
      <c r="J586" s="264" t="s">
        <v>97</v>
      </c>
      <c r="K586" s="355" t="s">
        <v>24</v>
      </c>
      <c r="L586" s="416" t="s">
        <v>402</v>
      </c>
      <c r="M586" s="264" t="s">
        <v>402</v>
      </c>
      <c r="N586" s="351" t="s">
        <v>402</v>
      </c>
      <c r="O586" s="88"/>
    </row>
    <row r="587" spans="1:15" s="123" customFormat="1" ht="11" customHeight="1">
      <c r="A587" s="351">
        <v>4026</v>
      </c>
      <c r="B587" s="353">
        <v>41639</v>
      </c>
      <c r="C587" s="264" t="s">
        <v>1167</v>
      </c>
      <c r="D587" s="278">
        <v>18000</v>
      </c>
      <c r="E587" s="413">
        <f t="shared" si="14"/>
        <v>2997.1028006260617</v>
      </c>
      <c r="F587" s="264" t="s">
        <v>184</v>
      </c>
      <c r="G587" s="92" t="s">
        <v>111</v>
      </c>
      <c r="H587" s="355" t="s">
        <v>118</v>
      </c>
      <c r="I587" s="91" t="s">
        <v>1110</v>
      </c>
      <c r="J587" s="264" t="s">
        <v>97</v>
      </c>
      <c r="K587" s="355" t="s">
        <v>26</v>
      </c>
      <c r="L587" s="416" t="s">
        <v>402</v>
      </c>
      <c r="M587" s="264" t="s">
        <v>402</v>
      </c>
      <c r="N587" s="351" t="s">
        <v>402</v>
      </c>
      <c r="O587" s="88"/>
    </row>
    <row r="588" spans="1:15" s="123" customFormat="1" ht="11" customHeight="1">
      <c r="A588" s="351">
        <v>4027</v>
      </c>
      <c r="B588" s="353">
        <v>41639</v>
      </c>
      <c r="C588" s="272" t="s">
        <v>1184</v>
      </c>
      <c r="D588" s="278">
        <v>800</v>
      </c>
      <c r="E588" s="413">
        <f t="shared" si="14"/>
        <v>133.20456891671384</v>
      </c>
      <c r="F588" s="264" t="s">
        <v>137</v>
      </c>
      <c r="G588" s="92" t="s">
        <v>111</v>
      </c>
      <c r="H588" s="355" t="s">
        <v>118</v>
      </c>
      <c r="I588" s="91" t="s">
        <v>1110</v>
      </c>
      <c r="J588" s="264" t="s">
        <v>97</v>
      </c>
      <c r="K588" s="355" t="s">
        <v>25</v>
      </c>
      <c r="L588" s="416" t="s">
        <v>402</v>
      </c>
      <c r="M588" s="264" t="s">
        <v>402</v>
      </c>
      <c r="N588" s="351" t="s">
        <v>402</v>
      </c>
      <c r="O588" s="88"/>
    </row>
    <row r="589" spans="1:15" s="123" customFormat="1" ht="11" customHeight="1">
      <c r="A589" s="351">
        <v>4024</v>
      </c>
      <c r="B589" s="353">
        <v>41639</v>
      </c>
      <c r="C589" s="264" t="s">
        <v>169</v>
      </c>
      <c r="D589" s="278">
        <v>120</v>
      </c>
      <c r="E589" s="413">
        <f t="shared" si="14"/>
        <v>19.980685337507076</v>
      </c>
      <c r="F589" s="264" t="s">
        <v>510</v>
      </c>
      <c r="G589" s="91" t="s">
        <v>132</v>
      </c>
      <c r="H589" s="355" t="s">
        <v>1071</v>
      </c>
      <c r="I589" s="91" t="s">
        <v>1110</v>
      </c>
      <c r="J589" s="91" t="s">
        <v>291</v>
      </c>
      <c r="K589" s="356" t="s">
        <v>29</v>
      </c>
      <c r="L589" s="416" t="s">
        <v>402</v>
      </c>
      <c r="M589" s="264" t="s">
        <v>402</v>
      </c>
      <c r="N589" s="351" t="s">
        <v>402</v>
      </c>
      <c r="O589" s="88"/>
    </row>
    <row r="590" spans="1:15" s="123" customFormat="1" ht="11" customHeight="1">
      <c r="A590" s="351">
        <v>4042</v>
      </c>
      <c r="B590" s="353">
        <v>41639</v>
      </c>
      <c r="C590" s="264" t="s">
        <v>450</v>
      </c>
      <c r="D590" s="427"/>
      <c r="E590" s="413">
        <v>25</v>
      </c>
      <c r="F590" s="264" t="s">
        <v>363</v>
      </c>
      <c r="G590" s="268" t="s">
        <v>1083</v>
      </c>
      <c r="H590" s="355" t="s">
        <v>1071</v>
      </c>
      <c r="I590" s="91" t="s">
        <v>1110</v>
      </c>
      <c r="J590" s="264" t="s">
        <v>95</v>
      </c>
      <c r="K590" s="356" t="s">
        <v>29</v>
      </c>
      <c r="L590" s="416" t="s">
        <v>402</v>
      </c>
      <c r="M590" s="264" t="s">
        <v>402</v>
      </c>
      <c r="N590" s="351" t="s">
        <v>402</v>
      </c>
      <c r="O590" s="88"/>
    </row>
    <row r="591" spans="1:15" s="346" customFormat="1">
      <c r="A591" s="342">
        <v>4120</v>
      </c>
      <c r="B591" s="343">
        <v>41642</v>
      </c>
      <c r="C591" s="341" t="s">
        <v>55</v>
      </c>
      <c r="D591" s="344">
        <v>1137.24</v>
      </c>
      <c r="E591" s="344">
        <v>189.29076715657718</v>
      </c>
      <c r="F591" s="341" t="s">
        <v>56</v>
      </c>
      <c r="G591" s="91" t="s">
        <v>52</v>
      </c>
      <c r="H591" s="355" t="s">
        <v>118</v>
      </c>
      <c r="I591" s="341" t="s">
        <v>391</v>
      </c>
      <c r="J591" s="341" t="s">
        <v>57</v>
      </c>
      <c r="K591" s="357" t="s">
        <v>24</v>
      </c>
      <c r="L591" s="470"/>
    </row>
    <row r="592" spans="1:15" s="346" customFormat="1">
      <c r="A592" s="342">
        <v>4121</v>
      </c>
      <c r="B592" s="343">
        <v>41642</v>
      </c>
      <c r="C592" s="341" t="s">
        <v>58</v>
      </c>
      <c r="D592" s="344">
        <v>2096.4299999999998</v>
      </c>
      <c r="E592" s="344">
        <v>348.94555501922463</v>
      </c>
      <c r="F592" s="341" t="s">
        <v>56</v>
      </c>
      <c r="G592" s="91" t="s">
        <v>52</v>
      </c>
      <c r="H592" s="355" t="s">
        <v>118</v>
      </c>
      <c r="I592" s="341" t="s">
        <v>391</v>
      </c>
      <c r="J592" s="341" t="s">
        <v>57</v>
      </c>
      <c r="K592" s="357" t="s">
        <v>24</v>
      </c>
      <c r="L592" s="470"/>
    </row>
    <row r="593" spans="1:14" s="346" customFormat="1">
      <c r="A593" s="342">
        <v>4119</v>
      </c>
      <c r="B593" s="343">
        <v>41645</v>
      </c>
      <c r="C593" s="341" t="s">
        <v>553</v>
      </c>
      <c r="D593" s="345">
        <v>17647.16</v>
      </c>
      <c r="E593" s="344">
        <v>2937.3258542918488</v>
      </c>
      <c r="F593" s="341" t="s">
        <v>920</v>
      </c>
      <c r="G593" s="256" t="s">
        <v>115</v>
      </c>
      <c r="H593" s="355" t="s">
        <v>118</v>
      </c>
      <c r="I593" s="341" t="s">
        <v>391</v>
      </c>
      <c r="J593" s="341" t="s">
        <v>57</v>
      </c>
      <c r="K593" s="357" t="s">
        <v>23</v>
      </c>
      <c r="L593" s="470"/>
    </row>
    <row r="594" spans="1:14" s="346" customFormat="1" ht="15">
      <c r="A594" s="342">
        <v>4063</v>
      </c>
      <c r="B594" s="343">
        <v>41645</v>
      </c>
      <c r="C594" s="341" t="s">
        <v>59</v>
      </c>
      <c r="D594" s="347"/>
      <c r="E594" s="344">
        <v>21.44</v>
      </c>
      <c r="F594" s="341" t="s">
        <v>60</v>
      </c>
      <c r="G594" s="261" t="s">
        <v>114</v>
      </c>
      <c r="H594" s="355" t="s">
        <v>1071</v>
      </c>
      <c r="I594" s="341" t="s">
        <v>501</v>
      </c>
      <c r="J594" s="341" t="s">
        <v>61</v>
      </c>
      <c r="K594" s="358" t="s">
        <v>29</v>
      </c>
      <c r="L594" s="470"/>
      <c r="M594" s="373"/>
      <c r="N594" s="373"/>
    </row>
    <row r="595" spans="1:14" s="346" customFormat="1" ht="15">
      <c r="A595" s="342">
        <v>4159</v>
      </c>
      <c r="B595" s="343">
        <v>41647</v>
      </c>
      <c r="C595" s="341" t="s">
        <v>63</v>
      </c>
      <c r="D595" s="348"/>
      <c r="E595" s="344">
        <v>2500</v>
      </c>
      <c r="F595" s="341" t="s">
        <v>64</v>
      </c>
      <c r="G595" s="266" t="s">
        <v>109</v>
      </c>
      <c r="H595" s="355" t="s">
        <v>1072</v>
      </c>
      <c r="I595" s="341" t="s">
        <v>501</v>
      </c>
      <c r="J595" s="341" t="s">
        <v>62</v>
      </c>
      <c r="K595" s="357"/>
      <c r="L595" s="470"/>
      <c r="M595" s="373"/>
      <c r="N595" s="373"/>
    </row>
    <row r="596" spans="1:14" s="346" customFormat="1" ht="15">
      <c r="A596" s="342">
        <v>4161</v>
      </c>
      <c r="B596" s="343">
        <v>41647</v>
      </c>
      <c r="C596" s="341" t="s">
        <v>67</v>
      </c>
      <c r="D596" s="348"/>
      <c r="E596" s="344">
        <v>2500</v>
      </c>
      <c r="F596" s="341" t="s">
        <v>68</v>
      </c>
      <c r="G596" s="266" t="s">
        <v>109</v>
      </c>
      <c r="H596" s="355" t="s">
        <v>1072</v>
      </c>
      <c r="I596" s="341" t="s">
        <v>501</v>
      </c>
      <c r="J596" s="341" t="s">
        <v>62</v>
      </c>
      <c r="K596" s="357"/>
      <c r="L596" s="470"/>
    </row>
    <row r="597" spans="1:14" s="346" customFormat="1" ht="15">
      <c r="A597" s="342">
        <v>4160</v>
      </c>
      <c r="B597" s="343">
        <v>41647</v>
      </c>
      <c r="C597" s="341" t="s">
        <v>65</v>
      </c>
      <c r="D597" s="348"/>
      <c r="E597" s="344">
        <v>2500</v>
      </c>
      <c r="F597" s="341" t="s">
        <v>66</v>
      </c>
      <c r="G597" s="266" t="s">
        <v>109</v>
      </c>
      <c r="H597" s="355" t="s">
        <v>1072</v>
      </c>
      <c r="I597" s="341" t="s">
        <v>501</v>
      </c>
      <c r="J597" s="341" t="s">
        <v>62</v>
      </c>
      <c r="K597" s="357"/>
      <c r="L597" s="470"/>
    </row>
    <row r="598" spans="1:14" s="346" customFormat="1" ht="15">
      <c r="A598" s="342">
        <v>4162</v>
      </c>
      <c r="B598" s="343">
        <v>41647</v>
      </c>
      <c r="C598" s="341" t="s">
        <v>69</v>
      </c>
      <c r="D598" s="348"/>
      <c r="E598" s="344">
        <v>5000</v>
      </c>
      <c r="F598" s="341" t="s">
        <v>70</v>
      </c>
      <c r="G598" s="266" t="s">
        <v>109</v>
      </c>
      <c r="H598" s="355" t="s">
        <v>1072</v>
      </c>
      <c r="I598" s="341" t="s">
        <v>501</v>
      </c>
      <c r="J598" s="341" t="s">
        <v>62</v>
      </c>
      <c r="K598" s="357"/>
      <c r="L598" s="470"/>
    </row>
    <row r="599" spans="1:14" s="346" customFormat="1" ht="15">
      <c r="A599" s="342">
        <v>4163</v>
      </c>
      <c r="B599" s="343">
        <v>41647</v>
      </c>
      <c r="C599" s="341" t="s">
        <v>71</v>
      </c>
      <c r="D599" s="348"/>
      <c r="E599" s="344">
        <v>100</v>
      </c>
      <c r="F599" s="341" t="s">
        <v>72</v>
      </c>
      <c r="G599" s="266" t="s">
        <v>109</v>
      </c>
      <c r="H599" s="355" t="s">
        <v>118</v>
      </c>
      <c r="I599" s="341" t="s">
        <v>501</v>
      </c>
      <c r="J599" s="341" t="s">
        <v>62</v>
      </c>
      <c r="K599" s="357" t="s">
        <v>23</v>
      </c>
      <c r="L599" s="470"/>
    </row>
    <row r="600" spans="1:14" s="346" customFormat="1" ht="15">
      <c r="A600" s="342">
        <v>4158</v>
      </c>
      <c r="B600" s="343">
        <v>41647</v>
      </c>
      <c r="C600" s="341" t="s">
        <v>649</v>
      </c>
      <c r="D600" s="348"/>
      <c r="E600" s="344">
        <v>200</v>
      </c>
      <c r="F600" s="341" t="s">
        <v>185</v>
      </c>
      <c r="G600" s="263" t="s">
        <v>113</v>
      </c>
      <c r="H600" s="355" t="s">
        <v>123</v>
      </c>
      <c r="I600" s="341" t="s">
        <v>501</v>
      </c>
      <c r="J600" s="341" t="s">
        <v>62</v>
      </c>
      <c r="K600" s="355"/>
      <c r="L600" s="470"/>
    </row>
    <row r="601" spans="1:14" s="346" customFormat="1">
      <c r="A601" s="342">
        <v>4127</v>
      </c>
      <c r="B601" s="343">
        <v>41649</v>
      </c>
      <c r="C601" s="341" t="s">
        <v>75</v>
      </c>
      <c r="D601" s="344">
        <v>352.54</v>
      </c>
      <c r="E601" s="344">
        <v>58.679405449491504</v>
      </c>
      <c r="F601" s="341" t="s">
        <v>181</v>
      </c>
      <c r="G601" s="91" t="s">
        <v>114</v>
      </c>
      <c r="H601" s="355" t="s">
        <v>118</v>
      </c>
      <c r="I601" s="341" t="s">
        <v>391</v>
      </c>
      <c r="J601" s="341" t="s">
        <v>57</v>
      </c>
      <c r="K601" s="355" t="s">
        <v>23</v>
      </c>
      <c r="L601" s="470"/>
    </row>
    <row r="602" spans="1:14" s="346" customFormat="1">
      <c r="A602" s="342">
        <v>4067</v>
      </c>
      <c r="B602" s="343">
        <v>41649</v>
      </c>
      <c r="C602" s="341" t="s">
        <v>73</v>
      </c>
      <c r="D602" s="344">
        <v>190</v>
      </c>
      <c r="E602" s="344">
        <v>31.625027047720501</v>
      </c>
      <c r="F602" s="341" t="s">
        <v>403</v>
      </c>
      <c r="G602" s="261" t="s">
        <v>52</v>
      </c>
      <c r="H602" s="355" t="s">
        <v>118</v>
      </c>
      <c r="I602" s="341" t="s">
        <v>501</v>
      </c>
      <c r="J602" s="341" t="s">
        <v>74</v>
      </c>
      <c r="K602" s="355" t="s">
        <v>26</v>
      </c>
      <c r="L602" s="470"/>
    </row>
    <row r="603" spans="1:14" s="346" customFormat="1">
      <c r="A603" s="342">
        <v>4126</v>
      </c>
      <c r="B603" s="343">
        <v>41650</v>
      </c>
      <c r="C603" s="341" t="s">
        <v>76</v>
      </c>
      <c r="D603" s="344">
        <v>960</v>
      </c>
      <c r="E603" s="344">
        <v>159.78961034637726</v>
      </c>
      <c r="F603" s="341" t="s">
        <v>56</v>
      </c>
      <c r="G603" s="91" t="s">
        <v>52</v>
      </c>
      <c r="H603" s="355" t="s">
        <v>118</v>
      </c>
      <c r="I603" s="341" t="s">
        <v>391</v>
      </c>
      <c r="J603" s="341" t="s">
        <v>57</v>
      </c>
      <c r="K603" s="355" t="s">
        <v>24</v>
      </c>
      <c r="L603" s="470"/>
    </row>
    <row r="604" spans="1:14" s="346" customFormat="1">
      <c r="A604" s="342">
        <v>4065</v>
      </c>
      <c r="B604" s="343">
        <v>41652</v>
      </c>
      <c r="C604" s="341" t="s">
        <v>77</v>
      </c>
      <c r="D604" s="344">
        <v>63</v>
      </c>
      <c r="E604" s="344">
        <v>10.486193178981008</v>
      </c>
      <c r="F604" s="341" t="s">
        <v>78</v>
      </c>
      <c r="G604" s="261" t="s">
        <v>114</v>
      </c>
      <c r="H604" s="355" t="s">
        <v>118</v>
      </c>
      <c r="I604" s="341" t="s">
        <v>501</v>
      </c>
      <c r="J604" s="341" t="s">
        <v>61</v>
      </c>
      <c r="K604" s="355" t="s">
        <v>23</v>
      </c>
      <c r="L604" s="470"/>
    </row>
    <row r="605" spans="1:14" s="346" customFormat="1">
      <c r="A605" s="342">
        <v>4064</v>
      </c>
      <c r="B605" s="343">
        <v>41653</v>
      </c>
      <c r="C605" s="341" t="s">
        <v>79</v>
      </c>
      <c r="D605" s="344">
        <v>80</v>
      </c>
      <c r="E605" s="344">
        <v>13.315800862198106</v>
      </c>
      <c r="F605" s="341" t="s">
        <v>510</v>
      </c>
      <c r="G605" s="261" t="s">
        <v>117</v>
      </c>
      <c r="H605" s="355" t="s">
        <v>1071</v>
      </c>
      <c r="I605" s="341" t="s">
        <v>501</v>
      </c>
      <c r="J605" s="341" t="s">
        <v>61</v>
      </c>
      <c r="K605" s="356" t="s">
        <v>29</v>
      </c>
      <c r="L605" s="470"/>
    </row>
    <row r="606" spans="1:14" s="346" customFormat="1">
      <c r="A606" s="342">
        <v>4167</v>
      </c>
      <c r="B606" s="343">
        <v>41653</v>
      </c>
      <c r="C606" s="341" t="s">
        <v>81</v>
      </c>
      <c r="D606" s="344">
        <v>2117.65</v>
      </c>
      <c r="E606" s="344">
        <v>352.47757119792271</v>
      </c>
      <c r="F606" s="341" t="s">
        <v>659</v>
      </c>
      <c r="G606" s="268" t="s">
        <v>115</v>
      </c>
      <c r="H606" s="355" t="s">
        <v>1071</v>
      </c>
      <c r="I606" s="341" t="s">
        <v>391</v>
      </c>
      <c r="J606" s="341" t="s">
        <v>57</v>
      </c>
      <c r="K606" s="356" t="s">
        <v>29</v>
      </c>
      <c r="L606" s="470"/>
    </row>
    <row r="607" spans="1:14" s="346" customFormat="1">
      <c r="A607" s="342">
        <v>4166</v>
      </c>
      <c r="B607" s="343">
        <v>41653</v>
      </c>
      <c r="C607" s="341" t="s">
        <v>80</v>
      </c>
      <c r="D607" s="344">
        <v>955.68</v>
      </c>
      <c r="E607" s="344">
        <v>159.07055709981856</v>
      </c>
      <c r="F607" s="341" t="s">
        <v>920</v>
      </c>
      <c r="G607" s="261" t="s">
        <v>116</v>
      </c>
      <c r="H607" s="355" t="s">
        <v>1071</v>
      </c>
      <c r="I607" s="341" t="s">
        <v>391</v>
      </c>
      <c r="J607" s="341" t="s">
        <v>57</v>
      </c>
      <c r="K607" s="356" t="s">
        <v>32</v>
      </c>
      <c r="L607" s="470"/>
      <c r="M607" s="373"/>
      <c r="N607" s="373"/>
    </row>
    <row r="608" spans="1:14" s="346" customFormat="1">
      <c r="A608" s="342">
        <v>4125</v>
      </c>
      <c r="B608" s="343">
        <v>41654</v>
      </c>
      <c r="C608" s="341" t="s">
        <v>952</v>
      </c>
      <c r="D608" s="344">
        <v>173.6</v>
      </c>
      <c r="E608" s="344">
        <v>28.895287870969888</v>
      </c>
      <c r="F608" s="341" t="s">
        <v>302</v>
      </c>
      <c r="G608" s="261" t="s">
        <v>114</v>
      </c>
      <c r="H608" s="355" t="s">
        <v>118</v>
      </c>
      <c r="I608" s="341" t="s">
        <v>391</v>
      </c>
      <c r="J608" s="341" t="s">
        <v>57</v>
      </c>
      <c r="K608" s="355" t="s">
        <v>23</v>
      </c>
      <c r="L608" s="470"/>
    </row>
    <row r="609" spans="1:14" s="346" customFormat="1">
      <c r="A609" s="342">
        <v>4061</v>
      </c>
      <c r="B609" s="343">
        <v>41654</v>
      </c>
      <c r="C609" s="341" t="s">
        <v>82</v>
      </c>
      <c r="D609" s="344">
        <v>12</v>
      </c>
      <c r="E609" s="344">
        <v>1.9973701293297157</v>
      </c>
      <c r="F609" s="341" t="s">
        <v>403</v>
      </c>
      <c r="G609" s="261" t="s">
        <v>114</v>
      </c>
      <c r="H609" s="355" t="s">
        <v>1071</v>
      </c>
      <c r="I609" s="341" t="s">
        <v>501</v>
      </c>
      <c r="J609" s="341" t="s">
        <v>61</v>
      </c>
      <c r="K609" s="356" t="s">
        <v>29</v>
      </c>
      <c r="L609" s="470"/>
      <c r="M609" s="373"/>
      <c r="N609" s="373"/>
    </row>
    <row r="610" spans="1:14" s="346" customFormat="1">
      <c r="A610" s="342">
        <v>4060</v>
      </c>
      <c r="B610" s="343">
        <v>41655</v>
      </c>
      <c r="C610" s="341" t="s">
        <v>180</v>
      </c>
      <c r="D610" s="344">
        <v>50</v>
      </c>
      <c r="E610" s="344">
        <v>8.3223755388738159</v>
      </c>
      <c r="F610" s="341" t="s">
        <v>403</v>
      </c>
      <c r="G610" s="261" t="s">
        <v>114</v>
      </c>
      <c r="H610" s="355" t="s">
        <v>1071</v>
      </c>
      <c r="I610" s="341" t="s">
        <v>501</v>
      </c>
      <c r="J610" s="341" t="s">
        <v>61</v>
      </c>
      <c r="K610" s="356" t="s">
        <v>34</v>
      </c>
      <c r="L610" s="470"/>
      <c r="M610" s="373"/>
      <c r="N610" s="373"/>
    </row>
    <row r="611" spans="1:14" s="346" customFormat="1">
      <c r="A611" s="342">
        <v>4068</v>
      </c>
      <c r="B611" s="343">
        <v>41655</v>
      </c>
      <c r="C611" s="341" t="s">
        <v>83</v>
      </c>
      <c r="D611" s="344">
        <v>228</v>
      </c>
      <c r="E611" s="344">
        <v>37.950032457264598</v>
      </c>
      <c r="F611" s="341" t="s">
        <v>84</v>
      </c>
      <c r="G611" s="261" t="s">
        <v>114</v>
      </c>
      <c r="H611" s="355" t="s">
        <v>1071</v>
      </c>
      <c r="I611" s="341" t="s">
        <v>391</v>
      </c>
      <c r="J611" s="341" t="s">
        <v>74</v>
      </c>
      <c r="K611" s="355" t="s">
        <v>37</v>
      </c>
      <c r="L611" s="470"/>
    </row>
    <row r="612" spans="1:14" s="346" customFormat="1">
      <c r="A612" s="342">
        <v>4066</v>
      </c>
      <c r="B612" s="343">
        <v>41656</v>
      </c>
      <c r="C612" s="341" t="s">
        <v>86</v>
      </c>
      <c r="D612" s="344">
        <v>15147</v>
      </c>
      <c r="E612" s="344">
        <v>2521.1804457464336</v>
      </c>
      <c r="F612" s="341" t="s">
        <v>87</v>
      </c>
      <c r="G612" s="266" t="s">
        <v>109</v>
      </c>
      <c r="H612" s="355" t="s">
        <v>1072</v>
      </c>
      <c r="I612" s="341" t="s">
        <v>501</v>
      </c>
      <c r="J612" s="341" t="s">
        <v>74</v>
      </c>
      <c r="K612" s="357"/>
      <c r="L612" s="470"/>
    </row>
    <row r="613" spans="1:14" s="346" customFormat="1">
      <c r="A613" s="342">
        <v>4062</v>
      </c>
      <c r="B613" s="343">
        <v>41656</v>
      </c>
      <c r="C613" s="341" t="s">
        <v>85</v>
      </c>
      <c r="D613" s="344">
        <v>43</v>
      </c>
      <c r="E613" s="344">
        <v>7.1572429634314814</v>
      </c>
      <c r="F613" s="341" t="s">
        <v>609</v>
      </c>
      <c r="G613" s="261" t="s">
        <v>114</v>
      </c>
      <c r="H613" s="355" t="s">
        <v>1071</v>
      </c>
      <c r="I613" s="341" t="s">
        <v>501</v>
      </c>
      <c r="J613" s="341" t="s">
        <v>74</v>
      </c>
      <c r="K613" s="358" t="s">
        <v>29</v>
      </c>
      <c r="L613" s="470"/>
      <c r="M613" s="373"/>
      <c r="N613" s="373"/>
    </row>
    <row r="614" spans="1:14" s="346" customFormat="1">
      <c r="A614" s="342">
        <v>4059</v>
      </c>
      <c r="B614" s="343">
        <v>41659</v>
      </c>
      <c r="C614" s="341" t="s">
        <v>90</v>
      </c>
      <c r="D614" s="344">
        <v>212</v>
      </c>
      <c r="E614" s="344">
        <v>35.28687228482498</v>
      </c>
      <c r="F614" s="341" t="s">
        <v>354</v>
      </c>
      <c r="G614" s="261" t="s">
        <v>114</v>
      </c>
      <c r="H614" s="355" t="s">
        <v>1071</v>
      </c>
      <c r="I614" s="341" t="s">
        <v>501</v>
      </c>
      <c r="J614" s="341" t="s">
        <v>74</v>
      </c>
      <c r="K614" s="358" t="s">
        <v>29</v>
      </c>
      <c r="L614" s="470"/>
    </row>
    <row r="615" spans="1:14" s="346" customFormat="1">
      <c r="A615" s="342">
        <v>4057</v>
      </c>
      <c r="B615" s="343">
        <v>41659</v>
      </c>
      <c r="C615" s="341" t="s">
        <v>88</v>
      </c>
      <c r="D615" s="344">
        <v>84</v>
      </c>
      <c r="E615" s="344">
        <v>13.981590905308011</v>
      </c>
      <c r="F615" s="341" t="s">
        <v>354</v>
      </c>
      <c r="G615" s="261" t="s">
        <v>114</v>
      </c>
      <c r="H615" s="355" t="s">
        <v>1071</v>
      </c>
      <c r="I615" s="341" t="s">
        <v>501</v>
      </c>
      <c r="J615" s="341" t="s">
        <v>74</v>
      </c>
      <c r="K615" s="358" t="s">
        <v>29</v>
      </c>
      <c r="L615" s="470"/>
    </row>
    <row r="616" spans="1:14" s="346" customFormat="1">
      <c r="A616" s="342">
        <v>4058</v>
      </c>
      <c r="B616" s="343">
        <v>41659</v>
      </c>
      <c r="C616" s="341" t="s">
        <v>89</v>
      </c>
      <c r="D616" s="344">
        <v>28</v>
      </c>
      <c r="E616" s="344">
        <v>4.6605303017693371</v>
      </c>
      <c r="F616" s="341" t="s">
        <v>354</v>
      </c>
      <c r="G616" s="261" t="s">
        <v>114</v>
      </c>
      <c r="H616" s="355" t="s">
        <v>1071</v>
      </c>
      <c r="I616" s="341" t="s">
        <v>501</v>
      </c>
      <c r="J616" s="341" t="s">
        <v>74</v>
      </c>
      <c r="K616" s="358" t="s">
        <v>29</v>
      </c>
      <c r="L616" s="470"/>
    </row>
    <row r="617" spans="1:14" s="346" customFormat="1">
      <c r="A617" s="342">
        <v>4076</v>
      </c>
      <c r="B617" s="343">
        <v>41662</v>
      </c>
      <c r="C617" s="341" t="s">
        <v>92</v>
      </c>
      <c r="D617" s="344">
        <v>44.5</v>
      </c>
      <c r="E617" s="344">
        <v>7.406914229597696</v>
      </c>
      <c r="F617" s="341" t="s">
        <v>264</v>
      </c>
      <c r="G617" s="258" t="s">
        <v>106</v>
      </c>
      <c r="H617" s="355" t="s">
        <v>1071</v>
      </c>
      <c r="I617" s="341" t="s">
        <v>501</v>
      </c>
      <c r="J617" s="341" t="s">
        <v>74</v>
      </c>
      <c r="K617" s="357" t="s">
        <v>34</v>
      </c>
      <c r="L617" s="470"/>
      <c r="M617" s="373"/>
      <c r="N617" s="373"/>
    </row>
    <row r="618" spans="1:14" s="346" customFormat="1">
      <c r="A618" s="342">
        <v>4075</v>
      </c>
      <c r="B618" s="343">
        <v>41662</v>
      </c>
      <c r="C618" s="341" t="s">
        <v>91</v>
      </c>
      <c r="D618" s="344">
        <v>370</v>
      </c>
      <c r="E618" s="344">
        <v>61.585578987666239</v>
      </c>
      <c r="F618" s="341" t="s">
        <v>264</v>
      </c>
      <c r="G618" s="258" t="s">
        <v>106</v>
      </c>
      <c r="H618" s="355" t="s">
        <v>1071</v>
      </c>
      <c r="I618" s="341" t="s">
        <v>501</v>
      </c>
      <c r="J618" s="341" t="s">
        <v>74</v>
      </c>
      <c r="K618" s="357" t="s">
        <v>34</v>
      </c>
      <c r="L618" s="470"/>
      <c r="M618" s="373"/>
      <c r="N618" s="373"/>
    </row>
    <row r="619" spans="1:14" s="346" customFormat="1">
      <c r="A619" s="342">
        <v>4089</v>
      </c>
      <c r="B619" s="343">
        <v>41663</v>
      </c>
      <c r="C619" s="341" t="s">
        <v>0</v>
      </c>
      <c r="D619" s="344">
        <v>1366</v>
      </c>
      <c r="E619" s="344">
        <v>227.36729972203264</v>
      </c>
      <c r="F619" s="341" t="s">
        <v>383</v>
      </c>
      <c r="G619" s="261" t="s">
        <v>52</v>
      </c>
      <c r="H619" s="355" t="s">
        <v>1071</v>
      </c>
      <c r="I619" s="341" t="s">
        <v>501</v>
      </c>
      <c r="J619" s="341" t="s">
        <v>61</v>
      </c>
      <c r="K619" s="358" t="s">
        <v>32</v>
      </c>
      <c r="L619" s="470"/>
      <c r="M619" s="373"/>
      <c r="N619" s="373"/>
    </row>
    <row r="620" spans="1:14" s="346" customFormat="1">
      <c r="A620" s="342">
        <v>4056</v>
      </c>
      <c r="B620" s="343">
        <v>41663</v>
      </c>
      <c r="C620" s="341" t="s">
        <v>93</v>
      </c>
      <c r="D620" s="344">
        <v>4000</v>
      </c>
      <c r="E620" s="344">
        <v>665.79004310990524</v>
      </c>
      <c r="F620" s="341" t="s">
        <v>647</v>
      </c>
      <c r="G620" s="259" t="s">
        <v>107</v>
      </c>
      <c r="H620" s="355" t="s">
        <v>1071</v>
      </c>
      <c r="I620" s="341" t="s">
        <v>501</v>
      </c>
      <c r="J620" s="341" t="s">
        <v>74</v>
      </c>
      <c r="K620" s="357" t="s">
        <v>41</v>
      </c>
      <c r="L620" s="470"/>
    </row>
    <row r="621" spans="1:14" s="346" customFormat="1" ht="15">
      <c r="A621" s="342">
        <v>4164</v>
      </c>
      <c r="B621" s="343">
        <v>41666</v>
      </c>
      <c r="C621" s="341" t="s">
        <v>1</v>
      </c>
      <c r="D621" s="348"/>
      <c r="E621" s="344">
        <v>15</v>
      </c>
      <c r="F621" s="341" t="s">
        <v>363</v>
      </c>
      <c r="G621" s="261" t="s">
        <v>114</v>
      </c>
      <c r="H621" s="355" t="s">
        <v>1071</v>
      </c>
      <c r="I621" s="341" t="s">
        <v>501</v>
      </c>
      <c r="J621" s="341" t="s">
        <v>62</v>
      </c>
      <c r="K621" s="358" t="s">
        <v>29</v>
      </c>
      <c r="L621" s="470"/>
    </row>
    <row r="622" spans="1:14" s="346" customFormat="1">
      <c r="A622" s="342">
        <v>4045</v>
      </c>
      <c r="B622" s="343">
        <v>41668</v>
      </c>
      <c r="C622" s="341" t="s">
        <v>3</v>
      </c>
      <c r="D622" s="344">
        <v>7500</v>
      </c>
      <c r="E622" s="344">
        <v>1248.3563308310725</v>
      </c>
      <c r="F622" s="341" t="s">
        <v>509</v>
      </c>
      <c r="G622" s="261" t="s">
        <v>51</v>
      </c>
      <c r="H622" s="355" t="s">
        <v>118</v>
      </c>
      <c r="I622" s="341" t="s">
        <v>391</v>
      </c>
      <c r="J622" s="341" t="s">
        <v>61</v>
      </c>
      <c r="K622" s="357" t="s">
        <v>24</v>
      </c>
      <c r="L622" s="470"/>
    </row>
    <row r="623" spans="1:14" s="346" customFormat="1">
      <c r="A623" s="342">
        <v>4124</v>
      </c>
      <c r="B623" s="343">
        <v>41668</v>
      </c>
      <c r="C623" s="341" t="s">
        <v>16</v>
      </c>
      <c r="D623" s="344">
        <v>1137.24</v>
      </c>
      <c r="E623" s="344">
        <v>189.29076715657718</v>
      </c>
      <c r="F623" s="341" t="s">
        <v>56</v>
      </c>
      <c r="G623" s="261" t="s">
        <v>52</v>
      </c>
      <c r="H623" s="355" t="s">
        <v>118</v>
      </c>
      <c r="I623" s="341" t="s">
        <v>391</v>
      </c>
      <c r="J623" s="341" t="s">
        <v>57</v>
      </c>
      <c r="K623" s="357" t="s">
        <v>24</v>
      </c>
      <c r="L623" s="470"/>
    </row>
    <row r="624" spans="1:14" s="346" customFormat="1">
      <c r="A624" s="342">
        <v>4053</v>
      </c>
      <c r="B624" s="343">
        <v>41668</v>
      </c>
      <c r="C624" s="341" t="s">
        <v>11</v>
      </c>
      <c r="D624" s="344">
        <v>4500</v>
      </c>
      <c r="E624" s="344">
        <v>749.01379849864338</v>
      </c>
      <c r="F624" s="341" t="s">
        <v>183</v>
      </c>
      <c r="G624" s="261" t="s">
        <v>111</v>
      </c>
      <c r="H624" s="355" t="s">
        <v>118</v>
      </c>
      <c r="I624" s="341" t="s">
        <v>501</v>
      </c>
      <c r="J624" s="341" t="s">
        <v>74</v>
      </c>
      <c r="K624" s="357" t="s">
        <v>24</v>
      </c>
      <c r="L624" s="470"/>
    </row>
    <row r="625" spans="1:14" s="346" customFormat="1">
      <c r="A625" s="342">
        <v>4047</v>
      </c>
      <c r="B625" s="343">
        <v>41668</v>
      </c>
      <c r="C625" s="341" t="s">
        <v>5</v>
      </c>
      <c r="D625" s="344">
        <v>3000</v>
      </c>
      <c r="E625" s="344">
        <v>499.34253233242896</v>
      </c>
      <c r="F625" s="341" t="s">
        <v>510</v>
      </c>
      <c r="G625" s="261" t="s">
        <v>108</v>
      </c>
      <c r="H625" s="357" t="s">
        <v>118</v>
      </c>
      <c r="I625" s="341" t="s">
        <v>501</v>
      </c>
      <c r="J625" s="341" t="s">
        <v>61</v>
      </c>
      <c r="K625" s="357" t="s">
        <v>24</v>
      </c>
      <c r="L625" s="470"/>
    </row>
    <row r="626" spans="1:14" s="346" customFormat="1">
      <c r="A626" s="342">
        <v>4054</v>
      </c>
      <c r="B626" s="343">
        <v>41668</v>
      </c>
      <c r="C626" s="341" t="s">
        <v>12</v>
      </c>
      <c r="D626" s="344">
        <v>800</v>
      </c>
      <c r="E626" s="344">
        <v>133.15800862198105</v>
      </c>
      <c r="F626" s="341" t="s">
        <v>13</v>
      </c>
      <c r="G626" s="261" t="s">
        <v>53</v>
      </c>
      <c r="H626" s="357" t="s">
        <v>118</v>
      </c>
      <c r="I626" s="341" t="s">
        <v>501</v>
      </c>
      <c r="J626" s="341" t="s">
        <v>74</v>
      </c>
      <c r="K626" s="357" t="s">
        <v>25</v>
      </c>
      <c r="L626" s="470"/>
    </row>
    <row r="627" spans="1:14" s="346" customFormat="1">
      <c r="A627" s="342">
        <v>4050</v>
      </c>
      <c r="B627" s="343">
        <v>41668</v>
      </c>
      <c r="C627" s="341" t="s">
        <v>8</v>
      </c>
      <c r="D627" s="344">
        <v>13500</v>
      </c>
      <c r="E627" s="344">
        <v>2247.0413954959304</v>
      </c>
      <c r="F627" s="341" t="s">
        <v>304</v>
      </c>
      <c r="G627" s="261" t="s">
        <v>108</v>
      </c>
      <c r="H627" s="357" t="s">
        <v>118</v>
      </c>
      <c r="I627" s="341" t="s">
        <v>501</v>
      </c>
      <c r="J627" s="341" t="s">
        <v>61</v>
      </c>
      <c r="K627" s="357" t="s">
        <v>25</v>
      </c>
      <c r="L627" s="470"/>
    </row>
    <row r="628" spans="1:14" s="346" customFormat="1">
      <c r="A628" s="342">
        <v>4055</v>
      </c>
      <c r="B628" s="343">
        <v>41668</v>
      </c>
      <c r="C628" s="341" t="s">
        <v>14</v>
      </c>
      <c r="D628" s="344">
        <v>7500</v>
      </c>
      <c r="E628" s="344">
        <v>1248.3563308310725</v>
      </c>
      <c r="F628" s="341" t="s">
        <v>404</v>
      </c>
      <c r="G628" s="261" t="s">
        <v>108</v>
      </c>
      <c r="H628" s="357" t="s">
        <v>118</v>
      </c>
      <c r="I628" s="341" t="s">
        <v>501</v>
      </c>
      <c r="J628" s="341" t="s">
        <v>61</v>
      </c>
      <c r="K628" s="357" t="s">
        <v>25</v>
      </c>
      <c r="L628" s="470"/>
    </row>
    <row r="629" spans="1:14" s="346" customFormat="1">
      <c r="A629" s="342">
        <v>4049</v>
      </c>
      <c r="B629" s="343">
        <v>41668</v>
      </c>
      <c r="C629" s="341" t="s">
        <v>7</v>
      </c>
      <c r="D629" s="344">
        <v>9750</v>
      </c>
      <c r="E629" s="344">
        <v>1622.863230080394</v>
      </c>
      <c r="F629" s="341" t="s">
        <v>135</v>
      </c>
      <c r="G629" s="261" t="s">
        <v>111</v>
      </c>
      <c r="H629" s="357" t="s">
        <v>118</v>
      </c>
      <c r="I629" s="341" t="s">
        <v>501</v>
      </c>
      <c r="J629" s="341" t="s">
        <v>61</v>
      </c>
      <c r="K629" s="358" t="s">
        <v>25</v>
      </c>
      <c r="L629" s="470"/>
    </row>
    <row r="630" spans="1:14" s="346" customFormat="1">
      <c r="A630" s="342">
        <v>4052</v>
      </c>
      <c r="B630" s="343">
        <v>41668</v>
      </c>
      <c r="C630" s="341" t="s">
        <v>10</v>
      </c>
      <c r="D630" s="344">
        <v>4500</v>
      </c>
      <c r="E630" s="344">
        <v>749.01379849864338</v>
      </c>
      <c r="F630" s="341" t="s">
        <v>182</v>
      </c>
      <c r="G630" s="261" t="s">
        <v>111</v>
      </c>
      <c r="H630" s="357" t="s">
        <v>118</v>
      </c>
      <c r="I630" s="341" t="s">
        <v>501</v>
      </c>
      <c r="J630" s="341" t="s">
        <v>74</v>
      </c>
      <c r="K630" s="357" t="s">
        <v>26</v>
      </c>
      <c r="L630" s="470"/>
    </row>
    <row r="631" spans="1:14" s="346" customFormat="1">
      <c r="A631" s="342">
        <v>4051</v>
      </c>
      <c r="B631" s="343">
        <v>41668</v>
      </c>
      <c r="C631" s="341" t="s">
        <v>9</v>
      </c>
      <c r="D631" s="344">
        <v>18000</v>
      </c>
      <c r="E631" s="344">
        <v>2996.0551939945735</v>
      </c>
      <c r="F631" s="341" t="s">
        <v>184</v>
      </c>
      <c r="G631" s="261" t="s">
        <v>111</v>
      </c>
      <c r="H631" s="357" t="s">
        <v>118</v>
      </c>
      <c r="I631" s="341" t="s">
        <v>501</v>
      </c>
      <c r="J631" s="341" t="s">
        <v>74</v>
      </c>
      <c r="K631" s="357" t="s">
        <v>26</v>
      </c>
      <c r="L631" s="470"/>
    </row>
    <row r="632" spans="1:14" s="346" customFormat="1">
      <c r="A632" s="342">
        <v>4044</v>
      </c>
      <c r="B632" s="343">
        <v>41668</v>
      </c>
      <c r="C632" s="341" t="s">
        <v>2</v>
      </c>
      <c r="D632" s="344">
        <v>10000</v>
      </c>
      <c r="E632" s="344">
        <v>1664.4751077747633</v>
      </c>
      <c r="F632" s="341" t="s">
        <v>329</v>
      </c>
      <c r="G632" s="261" t="s">
        <v>51</v>
      </c>
      <c r="H632" s="357" t="s">
        <v>1071</v>
      </c>
      <c r="I632" s="341" t="s">
        <v>391</v>
      </c>
      <c r="J632" s="341" t="s">
        <v>61</v>
      </c>
      <c r="K632" s="357" t="s">
        <v>29</v>
      </c>
      <c r="L632" s="470"/>
    </row>
    <row r="633" spans="1:14" s="346" customFormat="1">
      <c r="A633" s="342">
        <v>4069</v>
      </c>
      <c r="B633" s="343">
        <v>41668</v>
      </c>
      <c r="C633" s="341" t="s">
        <v>15</v>
      </c>
      <c r="D633" s="344">
        <v>66</v>
      </c>
      <c r="E633" s="344">
        <v>10.985535711313437</v>
      </c>
      <c r="F633" s="341" t="s">
        <v>179</v>
      </c>
      <c r="G633" s="261" t="s">
        <v>117</v>
      </c>
      <c r="H633" s="357" t="s">
        <v>1071</v>
      </c>
      <c r="I633" s="341" t="s">
        <v>391</v>
      </c>
      <c r="J633" s="341" t="s">
        <v>61</v>
      </c>
      <c r="K633" s="358" t="s">
        <v>29</v>
      </c>
      <c r="L633" s="470"/>
    </row>
    <row r="634" spans="1:14" s="346" customFormat="1">
      <c r="A634" s="342">
        <v>4048</v>
      </c>
      <c r="B634" s="343">
        <v>41668</v>
      </c>
      <c r="C634" s="341" t="s">
        <v>6</v>
      </c>
      <c r="D634" s="344">
        <v>5500</v>
      </c>
      <c r="E634" s="344">
        <v>915.46130927611978</v>
      </c>
      <c r="F634" s="341" t="s">
        <v>509</v>
      </c>
      <c r="G634" s="261" t="s">
        <v>108</v>
      </c>
      <c r="H634" s="357" t="s">
        <v>1071</v>
      </c>
      <c r="I634" s="341" t="s">
        <v>501</v>
      </c>
      <c r="J634" s="341" t="s">
        <v>61</v>
      </c>
      <c r="K634" s="357" t="s">
        <v>32</v>
      </c>
      <c r="L634" s="470"/>
    </row>
    <row r="635" spans="1:14" s="346" customFormat="1">
      <c r="A635" s="342">
        <v>4046</v>
      </c>
      <c r="B635" s="343">
        <v>41668</v>
      </c>
      <c r="C635" s="341" t="s">
        <v>4</v>
      </c>
      <c r="D635" s="344">
        <v>4200</v>
      </c>
      <c r="E635" s="344">
        <v>699.0795452654005</v>
      </c>
      <c r="F635" s="341" t="s">
        <v>510</v>
      </c>
      <c r="G635" s="91" t="s">
        <v>53</v>
      </c>
      <c r="H635" s="357" t="s">
        <v>1071</v>
      </c>
      <c r="I635" s="341" t="s">
        <v>391</v>
      </c>
      <c r="J635" s="341" t="s">
        <v>61</v>
      </c>
      <c r="K635" s="358" t="s">
        <v>34</v>
      </c>
      <c r="L635" s="470"/>
      <c r="M635" s="373"/>
      <c r="N635" s="373"/>
    </row>
    <row r="636" spans="1:14" s="346" customFormat="1">
      <c r="A636" s="342">
        <v>4123</v>
      </c>
      <c r="B636" s="343">
        <v>41669</v>
      </c>
      <c r="C636" s="341" t="s">
        <v>17</v>
      </c>
      <c r="D636" s="344">
        <v>2096.4299999999998</v>
      </c>
      <c r="E636" s="344">
        <v>348.94555501922463</v>
      </c>
      <c r="F636" s="341" t="s">
        <v>56</v>
      </c>
      <c r="G636" s="91" t="s">
        <v>52</v>
      </c>
      <c r="H636" s="357" t="s">
        <v>118</v>
      </c>
      <c r="I636" s="341" t="s">
        <v>391</v>
      </c>
      <c r="J636" s="341" t="s">
        <v>57</v>
      </c>
      <c r="K636" s="357" t="s">
        <v>24</v>
      </c>
      <c r="L636" s="470"/>
    </row>
    <row r="637" spans="1:14" s="346" customFormat="1" ht="15">
      <c r="A637" s="342">
        <v>4030</v>
      </c>
      <c r="B637" s="343">
        <v>41670</v>
      </c>
      <c r="C637" s="341" t="s">
        <v>18</v>
      </c>
      <c r="D637" s="348"/>
      <c r="E637" s="344">
        <v>210.54</v>
      </c>
      <c r="F637" s="341" t="s">
        <v>168</v>
      </c>
      <c r="G637" s="261" t="s">
        <v>117</v>
      </c>
      <c r="H637" s="357" t="s">
        <v>1071</v>
      </c>
      <c r="I637" s="341" t="s">
        <v>501</v>
      </c>
      <c r="J637" s="341" t="s">
        <v>61</v>
      </c>
      <c r="K637" s="358" t="s">
        <v>30</v>
      </c>
      <c r="L637" s="470"/>
    </row>
    <row r="640" spans="1:14">
      <c r="E640" s="255">
        <f>SUM(E3:E637)</f>
        <v>353889.10206801648</v>
      </c>
    </row>
    <row r="641" spans="8:11">
      <c r="K641" s="359" t="s">
        <v>28</v>
      </c>
    </row>
    <row r="642" spans="8:11">
      <c r="H642" s="277">
        <v>30603</v>
      </c>
      <c r="K642" s="277" t="s">
        <v>23</v>
      </c>
    </row>
    <row r="643" spans="8:11">
      <c r="H643" s="277">
        <v>15000</v>
      </c>
      <c r="K643" s="277" t="s">
        <v>24</v>
      </c>
    </row>
    <row r="644" spans="8:11">
      <c r="H644" s="277">
        <v>15000</v>
      </c>
      <c r="K644" s="277" t="s">
        <v>25</v>
      </c>
    </row>
    <row r="645" spans="8:11">
      <c r="H645" s="277">
        <v>17400</v>
      </c>
      <c r="K645" s="277" t="s">
        <v>26</v>
      </c>
    </row>
    <row r="646" spans="8:11">
      <c r="H646" s="277">
        <v>21996</v>
      </c>
      <c r="K646" s="277" t="s">
        <v>27</v>
      </c>
    </row>
    <row r="647" spans="8:11">
      <c r="H647" s="277">
        <v>37000</v>
      </c>
      <c r="K647" s="277" t="s">
        <v>29</v>
      </c>
    </row>
    <row r="648" spans="8:11">
      <c r="H648" s="277">
        <v>40000</v>
      </c>
      <c r="K648" s="277" t="s">
        <v>30</v>
      </c>
    </row>
    <row r="649" spans="8:11">
      <c r="H649" s="277">
        <v>23000</v>
      </c>
      <c r="K649" s="277" t="s">
        <v>32</v>
      </c>
    </row>
    <row r="650" spans="8:11">
      <c r="H650" s="277">
        <v>18000</v>
      </c>
      <c r="K650" s="277" t="s">
        <v>35</v>
      </c>
    </row>
    <row r="651" spans="8:11">
      <c r="H651" s="277">
        <v>12000</v>
      </c>
      <c r="K651" s="277" t="s">
        <v>34</v>
      </c>
    </row>
    <row r="652" spans="8:11">
      <c r="H652" s="277">
        <v>10000</v>
      </c>
      <c r="K652" s="277" t="s">
        <v>33</v>
      </c>
    </row>
    <row r="653" spans="8:11">
      <c r="H653" s="277">
        <v>9000</v>
      </c>
      <c r="K653" s="277" t="s">
        <v>36</v>
      </c>
    </row>
    <row r="654" spans="8:11">
      <c r="H654" s="277">
        <v>4000</v>
      </c>
      <c r="K654" s="277" t="s">
        <v>37</v>
      </c>
    </row>
    <row r="655" spans="8:11">
      <c r="H655" s="277">
        <v>2000</v>
      </c>
      <c r="K655" s="277" t="s">
        <v>38</v>
      </c>
    </row>
    <row r="656" spans="8:11">
      <c r="H656" s="277">
        <v>6000</v>
      </c>
      <c r="K656" s="277" t="s">
        <v>39</v>
      </c>
    </row>
    <row r="657" spans="8:11">
      <c r="H657" s="277">
        <v>4300</v>
      </c>
      <c r="K657" s="277" t="s">
        <v>40</v>
      </c>
    </row>
    <row r="658" spans="8:11">
      <c r="H658" s="277">
        <v>700</v>
      </c>
      <c r="K658" s="277" t="s">
        <v>41</v>
      </c>
    </row>
  </sheetData>
  <sortState ref="A2:O637">
    <sortCondition ref="B2:B637"/>
  </sortState>
  <phoneticPr fontId="51" type="noConversion"/>
  <dataValidations count="1">
    <dataValidation type="list" allowBlank="1" showInputMessage="1" showErrorMessage="1" sqref="K591:K637 K2:K566">
      <formula1>$K$642:$K$658</formula1>
    </dataValidation>
  </dataValidations>
  <pageMargins left="0.7" right="0.7" top="0.75" bottom="0.75" header="0.3" footer="0.3"/>
  <pageSetup paperSize="9" orientation="portrait" verticalDpi="3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'6 - P&amp;L Program Detail'!$A$15:$A$46</xm:f>
          </x14:formula1>
          <xm:sqref>G2:G590</xm:sqref>
        </x14:dataValidation>
        <x14:dataValidation type="list" allowBlank="1" showInputMessage="1" showErrorMessage="1">
          <x14:formula1>
            <xm:f>Conventions!$A$46:$A$57</xm:f>
          </x14:formula1>
          <xm:sqref>H2:H637</xm:sqref>
        </x14:dataValidation>
        <x14:dataValidation type="list" allowBlank="1" showInputMessage="1" showErrorMessage="1">
          <x14:formula1>
            <xm:f>Conventions!$A$12:$A$44</xm:f>
          </x14:formula1>
          <xm:sqref>G591:G637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E27"/>
  <sheetViews>
    <sheetView workbookViewId="0">
      <selection activeCell="A11" sqref="A11:XFD22"/>
    </sheetView>
  </sheetViews>
  <sheetFormatPr baseColWidth="10" defaultRowHeight="13" x14ac:dyDescent="0"/>
  <cols>
    <col min="1" max="1" width="44.5" style="365" bestFit="1" customWidth="1"/>
    <col min="2" max="4" width="15.33203125" style="367" customWidth="1"/>
    <col min="5" max="5" width="10.83203125" style="369"/>
    <col min="6" max="16384" width="10.83203125" style="365"/>
  </cols>
  <sheetData>
    <row r="1" spans="1:5" s="442" customFormat="1">
      <c r="A1" s="438" t="s">
        <v>28</v>
      </c>
      <c r="B1" s="439" t="s">
        <v>1100</v>
      </c>
      <c r="C1" s="440" t="s">
        <v>1101</v>
      </c>
      <c r="D1" s="440" t="s">
        <v>1054</v>
      </c>
      <c r="E1" s="441" t="s">
        <v>1102</v>
      </c>
    </row>
    <row r="2" spans="1:5" s="442" customFormat="1">
      <c r="A2" s="472" t="str">
        <f>Conventions!A47</f>
        <v>10 - PROJECT PENGYOU</v>
      </c>
      <c r="B2" s="439"/>
      <c r="C2" s="440"/>
      <c r="D2" s="440"/>
      <c r="E2" s="441"/>
    </row>
    <row r="3" spans="1:5">
      <c r="A3" s="360" t="s">
        <v>23</v>
      </c>
      <c r="B3" s="436">
        <v>30603</v>
      </c>
      <c r="C3" s="367">
        <f>SUMIF('FF Grant Reports Feb13-Jan14'!K:K,A3,'FF Grant Reports Feb13-Jan14'!E:E)</f>
        <v>30179.623353437069</v>
      </c>
      <c r="D3" s="367">
        <f>B3-C3</f>
        <v>423.37664656293055</v>
      </c>
      <c r="E3" s="369">
        <f>D3/B3</f>
        <v>1.3834481801226367E-2</v>
      </c>
    </row>
    <row r="4" spans="1:5">
      <c r="A4" s="360" t="s">
        <v>24</v>
      </c>
      <c r="B4" s="436">
        <v>15000</v>
      </c>
      <c r="C4" s="367">
        <f>SUMIF('FF Grant Reports Feb13-Jan14'!K:K,A4,'FF Grant Reports Feb13-Jan14'!E:E)</f>
        <v>15083.02095650091</v>
      </c>
      <c r="D4" s="367">
        <f t="shared" ref="D4:D7" si="0">B4-C4</f>
        <v>-83.020956500909961</v>
      </c>
      <c r="E4" s="369">
        <f t="shared" ref="E4:E7" si="1">D4/B4</f>
        <v>-5.5347304333939976E-3</v>
      </c>
    </row>
    <row r="5" spans="1:5">
      <c r="A5" s="360" t="s">
        <v>25</v>
      </c>
      <c r="B5" s="436">
        <v>15000</v>
      </c>
      <c r="C5" s="367">
        <f>SUMIF('FF Grant Reports Feb13-Jan14'!K:K,A5,'FF Grant Reports Feb13-Jan14'!E:E)</f>
        <v>14780.396165522059</v>
      </c>
      <c r="D5" s="367">
        <f t="shared" si="0"/>
        <v>219.60383447794084</v>
      </c>
      <c r="E5" s="369">
        <f t="shared" si="1"/>
        <v>1.4640255631862723E-2</v>
      </c>
    </row>
    <row r="6" spans="1:5">
      <c r="A6" s="360" t="s">
        <v>26</v>
      </c>
      <c r="B6" s="436">
        <v>17400</v>
      </c>
      <c r="C6" s="367">
        <f>SUMIF('FF Grant Reports Feb13-Jan14'!K:K,A6,'FF Grant Reports Feb13-Jan14'!E:E)</f>
        <v>18129.427296517224</v>
      </c>
      <c r="D6" s="367">
        <f t="shared" si="0"/>
        <v>-729.42729651722402</v>
      </c>
      <c r="E6" s="369">
        <f t="shared" si="1"/>
        <v>-4.1921108995242762E-2</v>
      </c>
    </row>
    <row r="7" spans="1:5">
      <c r="A7" s="360" t="s">
        <v>27</v>
      </c>
      <c r="B7" s="436">
        <v>21996</v>
      </c>
      <c r="C7" s="367">
        <f>SUMIF('FF Grant Reports Feb13-Jan14'!K:K,A7,'FF Grant Reports Feb13-Jan14'!E:E)</f>
        <v>21840.517660560767</v>
      </c>
      <c r="D7" s="367">
        <f t="shared" si="0"/>
        <v>155.48233943923333</v>
      </c>
      <c r="E7" s="369">
        <f t="shared" si="1"/>
        <v>7.0686642771064434E-3</v>
      </c>
    </row>
    <row r="8" spans="1:5">
      <c r="A8" s="277"/>
      <c r="B8" s="279"/>
      <c r="C8" s="443">
        <f>SUM(C3:C7)</f>
        <v>100012.98543253804</v>
      </c>
      <c r="D8" s="367">
        <f>C8-99999</f>
        <v>13.985432538043824</v>
      </c>
    </row>
    <row r="9" spans="1:5" s="364" customFormat="1">
      <c r="A9" s="277"/>
      <c r="B9" s="279"/>
      <c r="C9" s="366"/>
      <c r="D9" s="366"/>
      <c r="E9" s="368"/>
    </row>
    <row r="10" spans="1:5" s="364" customFormat="1">
      <c r="A10" s="471" t="str">
        <f>Conventions!A49</f>
        <v>12 - US - CHINA GRASSROOTS</v>
      </c>
      <c r="B10" s="279"/>
      <c r="C10" s="366"/>
      <c r="D10" s="366"/>
      <c r="E10" s="368"/>
    </row>
    <row r="11" spans="1:5">
      <c r="A11" s="361" t="s">
        <v>29</v>
      </c>
      <c r="B11" s="437">
        <v>37000</v>
      </c>
      <c r="C11" s="367">
        <f>SUMIF('FF Grant Reports Feb13-Jan14'!K:K,A11,'FF Grant Reports Feb13-Jan14'!E:E)</f>
        <v>36977.051060980906</v>
      </c>
      <c r="D11" s="367">
        <f t="shared" ref="D11:D22" si="2">B11-C11</f>
        <v>22.948939019093814</v>
      </c>
      <c r="E11" s="369">
        <f t="shared" ref="E11:E22" si="3">D11/B11</f>
        <v>6.202415951106436E-4</v>
      </c>
    </row>
    <row r="12" spans="1:5">
      <c r="A12" s="361" t="s">
        <v>30</v>
      </c>
      <c r="B12" s="437">
        <v>40000</v>
      </c>
      <c r="C12" s="367">
        <f>SUMIF('FF Grant Reports Feb13-Jan14'!K:K,A12,'FF Grant Reports Feb13-Jan14'!E:E)</f>
        <v>39954.072863369256</v>
      </c>
      <c r="D12" s="367">
        <f t="shared" si="2"/>
        <v>45.927136630743917</v>
      </c>
      <c r="E12" s="369">
        <f t="shared" si="3"/>
        <v>1.1481784157685979E-3</v>
      </c>
    </row>
    <row r="13" spans="1:5">
      <c r="A13" s="361" t="s">
        <v>32</v>
      </c>
      <c r="B13" s="437">
        <v>23000</v>
      </c>
      <c r="C13" s="367">
        <f>SUMIF('FF Grant Reports Feb13-Jan14'!K:K,A13,'FF Grant Reports Feb13-Jan14'!E:E)</f>
        <v>22817.99780110185</v>
      </c>
      <c r="D13" s="367">
        <f t="shared" si="2"/>
        <v>182.0021988981498</v>
      </c>
      <c r="E13" s="369">
        <f t="shared" si="3"/>
        <v>7.9131390825282529E-3</v>
      </c>
    </row>
    <row r="14" spans="1:5">
      <c r="A14" s="363" t="s">
        <v>35</v>
      </c>
      <c r="B14" s="444">
        <v>18000</v>
      </c>
      <c r="C14" s="367">
        <f>SUMIF('FF Grant Reports Feb13-Jan14'!K:K,A14,'FF Grant Reports Feb13-Jan14'!E:E)</f>
        <v>116.19165634035522</v>
      </c>
      <c r="D14" s="367">
        <f t="shared" si="2"/>
        <v>17883.808343659646</v>
      </c>
      <c r="E14" s="369">
        <f t="shared" si="3"/>
        <v>0.99354490798109141</v>
      </c>
    </row>
    <row r="15" spans="1:5">
      <c r="A15" s="361" t="s">
        <v>34</v>
      </c>
      <c r="B15" s="437">
        <v>12000</v>
      </c>
      <c r="C15" s="367">
        <f>SUMIF('FF Grant Reports Feb13-Jan14'!K:K,A15,'FF Grant Reports Feb13-Jan14'!E:E)</f>
        <v>12040.057097087611</v>
      </c>
      <c r="D15" s="367">
        <f t="shared" si="2"/>
        <v>-40.0570970876106</v>
      </c>
      <c r="E15" s="369">
        <f t="shared" si="3"/>
        <v>-3.3380914239675499E-3</v>
      </c>
    </row>
    <row r="16" spans="1:5">
      <c r="A16" s="363" t="s">
        <v>33</v>
      </c>
      <c r="B16" s="444">
        <v>10000</v>
      </c>
      <c r="C16" s="367">
        <f>SUMIF('FF Grant Reports Feb13-Jan14'!K:K,A16,'FF Grant Reports Feb13-Jan14'!E:E)</f>
        <v>0</v>
      </c>
      <c r="D16" s="367">
        <f t="shared" si="2"/>
        <v>10000</v>
      </c>
      <c r="E16" s="369">
        <f t="shared" si="3"/>
        <v>1</v>
      </c>
    </row>
    <row r="17" spans="1:5">
      <c r="A17" s="363" t="s">
        <v>36</v>
      </c>
      <c r="B17" s="444">
        <v>9000</v>
      </c>
      <c r="C17" s="367">
        <f>SUMIF('FF Grant Reports Feb13-Jan14'!K:K,A17,'FF Grant Reports Feb13-Jan14'!E:E)</f>
        <v>30.71</v>
      </c>
      <c r="D17" s="367">
        <f t="shared" si="2"/>
        <v>8969.2900000000009</v>
      </c>
      <c r="E17" s="369">
        <f t="shared" si="3"/>
        <v>0.99658777777777785</v>
      </c>
    </row>
    <row r="18" spans="1:5">
      <c r="A18" s="361" t="s">
        <v>37</v>
      </c>
      <c r="B18" s="437">
        <v>4000</v>
      </c>
      <c r="C18" s="367">
        <f>SUMIF('FF Grant Reports Feb13-Jan14'!K:K,A18,'FF Grant Reports Feb13-Jan14'!E:E)</f>
        <v>3988.2823399634253</v>
      </c>
      <c r="D18" s="367">
        <f t="shared" si="2"/>
        <v>11.717660036574671</v>
      </c>
      <c r="E18" s="369">
        <f t="shared" si="3"/>
        <v>2.9294150091436679E-3</v>
      </c>
    </row>
    <row r="19" spans="1:5">
      <c r="A19" s="363" t="s">
        <v>38</v>
      </c>
      <c r="B19" s="444">
        <v>2000</v>
      </c>
      <c r="C19" s="367">
        <f>SUMIF('FF Grant Reports Feb13-Jan14'!K:K,A19,'FF Grant Reports Feb13-Jan14'!E:E)</f>
        <v>0</v>
      </c>
      <c r="D19" s="367">
        <f t="shared" si="2"/>
        <v>2000</v>
      </c>
      <c r="E19" s="369">
        <f t="shared" si="3"/>
        <v>1</v>
      </c>
    </row>
    <row r="20" spans="1:5">
      <c r="A20" s="361" t="s">
        <v>39</v>
      </c>
      <c r="B20" s="437">
        <v>6000</v>
      </c>
      <c r="C20" s="367">
        <f>SUMIF('FF Grant Reports Feb13-Jan14'!K:K,A20,'FF Grant Reports Feb13-Jan14'!E:E)</f>
        <v>6022.1343557876689</v>
      </c>
      <c r="D20" s="367">
        <f t="shared" si="2"/>
        <v>-22.134355787668937</v>
      </c>
      <c r="E20" s="369">
        <f t="shared" si="3"/>
        <v>-3.6890592979448231E-3</v>
      </c>
    </row>
    <row r="21" spans="1:5">
      <c r="A21" s="361" t="s">
        <v>40</v>
      </c>
      <c r="B21" s="437">
        <v>4300</v>
      </c>
      <c r="C21" s="367">
        <f>SUMIF('FF Grant Reports Feb13-Jan14'!K:K,A21,'FF Grant Reports Feb13-Jan14'!E:E)</f>
        <v>4300</v>
      </c>
      <c r="D21" s="367">
        <f t="shared" si="2"/>
        <v>0</v>
      </c>
      <c r="E21" s="369">
        <f t="shared" si="3"/>
        <v>0</v>
      </c>
    </row>
    <row r="22" spans="1:5">
      <c r="A22" s="361" t="s">
        <v>41</v>
      </c>
      <c r="B22" s="437">
        <v>700</v>
      </c>
      <c r="C22" s="367">
        <f>SUMIF('FF Grant Reports Feb13-Jan14'!K:K,A22,'FF Grant Reports Feb13-Jan14'!E:E)</f>
        <v>696.2100431099052</v>
      </c>
      <c r="D22" s="367">
        <f t="shared" si="2"/>
        <v>3.7899568900947997</v>
      </c>
      <c r="E22" s="369">
        <f t="shared" si="3"/>
        <v>5.4142241287068564E-3</v>
      </c>
    </row>
    <row r="23" spans="1:5">
      <c r="C23" s="443">
        <f>SUM(C11:C22)</f>
        <v>126942.70721774099</v>
      </c>
    </row>
    <row r="25" spans="1:5">
      <c r="B25" s="367" t="s">
        <v>1103</v>
      </c>
      <c r="C25" s="367">
        <f>166000-C23</f>
        <v>39057.292782259014</v>
      </c>
    </row>
    <row r="26" spans="1:5">
      <c r="A26" s="365" t="s">
        <v>1191</v>
      </c>
      <c r="C26" s="367">
        <f>SUMIFS('FF Grant Reports Feb13-Jan14'!E:E,'FF Grant Reports Feb13-Jan14'!B:B,"&gt;12/31/2013",'FF Grant Reports Feb13-Jan14'!H:H,"12 - US - CHINA GRASSROOTS")</f>
        <v>5133.35127781754</v>
      </c>
    </row>
    <row r="27" spans="1:5">
      <c r="A27" s="365" t="s">
        <v>1192</v>
      </c>
      <c r="C27" s="367">
        <f>SUMIFS('FF Grant Reports Feb13-Jan14'!E:E,'FF Grant Reports Feb13-Jan14'!B:B,"&gt;12/31/2013",'FF Grant Reports Feb13-Jan14'!H:H,"10 - PROJECT PENGYOU")</f>
        <v>15896.474641721732</v>
      </c>
    </row>
  </sheetData>
  <phoneticPr fontId="5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57"/>
  <sheetViews>
    <sheetView zoomScale="150" zoomScaleNormal="150" zoomScalePageLayoutView="150" workbookViewId="0">
      <selection activeCell="A2" sqref="A2"/>
    </sheetView>
  </sheetViews>
  <sheetFormatPr baseColWidth="10" defaultRowHeight="14" x14ac:dyDescent="0"/>
  <cols>
    <col min="1" max="1" width="92.33203125" style="410" bestFit="1" customWidth="1"/>
    <col min="2" max="16384" width="10.83203125" style="377"/>
  </cols>
  <sheetData>
    <row r="1" spans="1:1" ht="15">
      <c r="A1" s="524" t="s">
        <v>1200</v>
      </c>
    </row>
    <row r="2" spans="1:1" s="523" customFormat="1">
      <c r="A2" s="522"/>
    </row>
    <row r="3" spans="1:1">
      <c r="A3" s="407" t="s">
        <v>1070</v>
      </c>
    </row>
    <row r="4" spans="1:1">
      <c r="A4" s="408" t="s">
        <v>42</v>
      </c>
    </row>
    <row r="5" spans="1:1">
      <c r="A5" s="408" t="s">
        <v>43</v>
      </c>
    </row>
    <row r="6" spans="1:1">
      <c r="A6" s="408" t="s">
        <v>44</v>
      </c>
    </row>
    <row r="7" spans="1:1">
      <c r="A7" s="408" t="s">
        <v>45</v>
      </c>
    </row>
    <row r="8" spans="1:1">
      <c r="A8" s="408" t="s">
        <v>46</v>
      </c>
    </row>
    <row r="9" spans="1:1">
      <c r="A9" s="408" t="s">
        <v>47</v>
      </c>
    </row>
    <row r="10" spans="1:1">
      <c r="A10" s="408" t="s">
        <v>48</v>
      </c>
    </row>
    <row r="11" spans="1:1">
      <c r="A11" s="409"/>
    </row>
    <row r="12" spans="1:1">
      <c r="A12" s="407" t="s">
        <v>1069</v>
      </c>
    </row>
    <row r="13" spans="1:1">
      <c r="A13" s="408" t="s">
        <v>1057</v>
      </c>
    </row>
    <row r="14" spans="1:1">
      <c r="A14" s="408" t="s">
        <v>1058</v>
      </c>
    </row>
    <row r="15" spans="1:1">
      <c r="A15" s="408" t="s">
        <v>1059</v>
      </c>
    </row>
    <row r="16" spans="1:1">
      <c r="A16" s="408" t="s">
        <v>1060</v>
      </c>
    </row>
    <row r="17" spans="1:1">
      <c r="A17" s="408" t="s">
        <v>51</v>
      </c>
    </row>
    <row r="18" spans="1:1">
      <c r="A18" s="408" t="s">
        <v>1061</v>
      </c>
    </row>
    <row r="19" spans="1:1">
      <c r="A19" s="408" t="s">
        <v>20</v>
      </c>
    </row>
    <row r="20" spans="1:1">
      <c r="A20" s="408" t="s">
        <v>1062</v>
      </c>
    </row>
    <row r="21" spans="1:1">
      <c r="A21" s="408" t="s">
        <v>19</v>
      </c>
    </row>
    <row r="22" spans="1:1">
      <c r="A22" s="408" t="s">
        <v>127</v>
      </c>
    </row>
    <row r="23" spans="1:1">
      <c r="A23" s="408" t="s">
        <v>108</v>
      </c>
    </row>
    <row r="24" spans="1:1">
      <c r="A24" s="408" t="s">
        <v>110</v>
      </c>
    </row>
    <row r="25" spans="1:1">
      <c r="A25" s="408" t="s">
        <v>107</v>
      </c>
    </row>
    <row r="26" spans="1:1">
      <c r="A26" s="408" t="s">
        <v>128</v>
      </c>
    </row>
    <row r="27" spans="1:1">
      <c r="A27" s="408" t="s">
        <v>129</v>
      </c>
    </row>
    <row r="28" spans="1:1">
      <c r="A28" s="408" t="s">
        <v>130</v>
      </c>
    </row>
    <row r="29" spans="1:1">
      <c r="A29" s="408" t="s">
        <v>109</v>
      </c>
    </row>
    <row r="30" spans="1:1">
      <c r="A30" s="408" t="s">
        <v>131</v>
      </c>
    </row>
    <row r="31" spans="1:1">
      <c r="A31" s="408" t="s">
        <v>114</v>
      </c>
    </row>
    <row r="32" spans="1:1">
      <c r="A32" s="408" t="s">
        <v>111</v>
      </c>
    </row>
    <row r="33" spans="1:1">
      <c r="A33" s="408" t="s">
        <v>1063</v>
      </c>
    </row>
    <row r="34" spans="1:1">
      <c r="A34" s="408" t="s">
        <v>113</v>
      </c>
    </row>
    <row r="35" spans="1:1">
      <c r="A35" s="408" t="s">
        <v>132</v>
      </c>
    </row>
    <row r="36" spans="1:1">
      <c r="A36" s="408" t="s">
        <v>1064</v>
      </c>
    </row>
    <row r="37" spans="1:1">
      <c r="A37" s="408" t="s">
        <v>106</v>
      </c>
    </row>
    <row r="38" spans="1:1">
      <c r="A38" s="408" t="s">
        <v>1065</v>
      </c>
    </row>
    <row r="39" spans="1:1">
      <c r="A39" s="408" t="s">
        <v>133</v>
      </c>
    </row>
    <row r="40" spans="1:1">
      <c r="A40" s="408" t="s">
        <v>1066</v>
      </c>
    </row>
    <row r="41" spans="1:1">
      <c r="A41" s="408" t="s">
        <v>112</v>
      </c>
    </row>
    <row r="42" spans="1:1">
      <c r="A42" s="408" t="s">
        <v>1083</v>
      </c>
    </row>
    <row r="43" spans="1:1">
      <c r="A43" s="408" t="s">
        <v>1084</v>
      </c>
    </row>
    <row r="44" spans="1:1">
      <c r="A44" s="408" t="s">
        <v>1085</v>
      </c>
    </row>
    <row r="45" spans="1:1">
      <c r="A45" s="408"/>
    </row>
    <row r="46" spans="1:1">
      <c r="A46" s="407" t="s">
        <v>1074</v>
      </c>
    </row>
    <row r="47" spans="1:1">
      <c r="A47" s="408" t="s">
        <v>118</v>
      </c>
    </row>
    <row r="48" spans="1:1">
      <c r="A48" s="408" t="s">
        <v>119</v>
      </c>
    </row>
    <row r="49" spans="1:1">
      <c r="A49" s="408" t="s">
        <v>1071</v>
      </c>
    </row>
    <row r="50" spans="1:1">
      <c r="A50" s="408" t="s">
        <v>120</v>
      </c>
    </row>
    <row r="51" spans="1:1">
      <c r="A51" s="408" t="s">
        <v>1072</v>
      </c>
    </row>
    <row r="53" spans="1:1">
      <c r="A53" s="407" t="s">
        <v>390</v>
      </c>
    </row>
    <row r="54" spans="1:1">
      <c r="A54" s="408" t="s">
        <v>1073</v>
      </c>
    </row>
    <row r="55" spans="1:1">
      <c r="A55" s="408" t="s">
        <v>122</v>
      </c>
    </row>
    <row r="56" spans="1:1">
      <c r="A56" s="408" t="s">
        <v>123</v>
      </c>
    </row>
    <row r="57" spans="1:1">
      <c r="A57" s="408" t="s">
        <v>124</v>
      </c>
    </row>
  </sheetData>
  <phoneticPr fontId="94" type="noConversion"/>
  <printOptions gridLines="1"/>
  <pageMargins left="0.75" right="0.75" top="1" bottom="1" header="0.5" footer="0.5"/>
  <pageSetup scale="81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CFFCC"/>
  </sheetPr>
  <dimension ref="A1:O69"/>
  <sheetViews>
    <sheetView zoomScale="125" zoomScaleNormal="125" zoomScalePageLayoutView="125" workbookViewId="0">
      <pane ySplit="1" topLeftCell="A2" activePane="bottomLeft" state="frozen"/>
      <selection pane="bottomLeft" activeCell="C41" sqref="C41"/>
    </sheetView>
  </sheetViews>
  <sheetFormatPr baseColWidth="10" defaultColWidth="9" defaultRowHeight="14" x14ac:dyDescent="0"/>
  <cols>
    <col min="1" max="1" width="9" style="218"/>
    <col min="2" max="2" width="9" style="88"/>
    <col min="3" max="3" width="29" style="88" customWidth="1"/>
    <col min="4" max="4" width="8" style="89" hidden="1" customWidth="1"/>
    <col min="5" max="5" width="10.5" style="255" customWidth="1"/>
    <col min="6" max="6" width="26" style="88" hidden="1" customWidth="1"/>
    <col min="7" max="7" width="41.83203125" style="88" customWidth="1"/>
    <col min="8" max="8" width="47.1640625" style="277" bestFit="1" customWidth="1"/>
    <col min="9" max="9" width="12.6640625" style="90" hidden="1" customWidth="1"/>
    <col min="10" max="10" width="12.1640625" style="88" hidden="1" customWidth="1"/>
    <col min="11" max="11" width="29.5" style="277" customWidth="1"/>
    <col min="12" max="12" width="9.5" style="470" bestFit="1" customWidth="1"/>
    <col min="13" max="16384" width="9" style="88"/>
  </cols>
  <sheetData>
    <row r="1" spans="1:14">
      <c r="A1" s="253" t="s">
        <v>502</v>
      </c>
      <c r="B1" s="254" t="s">
        <v>503</v>
      </c>
      <c r="C1" s="254" t="s">
        <v>504</v>
      </c>
      <c r="D1" s="254" t="s">
        <v>596</v>
      </c>
      <c r="E1" s="255" t="s">
        <v>597</v>
      </c>
      <c r="F1" s="254" t="s">
        <v>505</v>
      </c>
      <c r="G1" s="254" t="s">
        <v>399</v>
      </c>
      <c r="H1" s="273" t="s">
        <v>400</v>
      </c>
      <c r="I1" s="376" t="s">
        <v>401</v>
      </c>
      <c r="J1" s="270" t="s">
        <v>104</v>
      </c>
      <c r="K1" s="273" t="s">
        <v>1068</v>
      </c>
      <c r="M1" s="87"/>
      <c r="N1" s="87"/>
    </row>
    <row r="2" spans="1:14" s="346" customFormat="1">
      <c r="A2" s="342">
        <v>4045</v>
      </c>
      <c r="B2" s="343">
        <v>41668</v>
      </c>
      <c r="C2" s="341" t="s">
        <v>3</v>
      </c>
      <c r="D2" s="344">
        <v>7500</v>
      </c>
      <c r="E2" s="344">
        <v>1248.3563308310725</v>
      </c>
      <c r="F2" s="341" t="s">
        <v>509</v>
      </c>
      <c r="G2" s="91" t="s">
        <v>51</v>
      </c>
      <c r="H2" s="355" t="s">
        <v>118</v>
      </c>
      <c r="I2" s="341" t="s">
        <v>391</v>
      </c>
      <c r="J2" s="341" t="s">
        <v>61</v>
      </c>
      <c r="K2" s="357" t="s">
        <v>24</v>
      </c>
      <c r="L2" s="470"/>
    </row>
    <row r="3" spans="1:14" s="346" customFormat="1">
      <c r="A3" s="342">
        <v>4044</v>
      </c>
      <c r="B3" s="343">
        <v>41668</v>
      </c>
      <c r="C3" s="341" t="s">
        <v>2</v>
      </c>
      <c r="D3" s="344">
        <v>10000</v>
      </c>
      <c r="E3" s="344">
        <v>1664.4751077747633</v>
      </c>
      <c r="F3" s="341" t="s">
        <v>329</v>
      </c>
      <c r="G3" s="91" t="s">
        <v>51</v>
      </c>
      <c r="H3" s="355" t="s">
        <v>1071</v>
      </c>
      <c r="I3" s="341" t="s">
        <v>391</v>
      </c>
      <c r="J3" s="341" t="s">
        <v>61</v>
      </c>
      <c r="K3" s="357" t="s">
        <v>29</v>
      </c>
      <c r="L3" s="470"/>
    </row>
    <row r="4" spans="1:14" s="346" customFormat="1">
      <c r="A4" s="342">
        <v>4046</v>
      </c>
      <c r="B4" s="343">
        <v>41668</v>
      </c>
      <c r="C4" s="341" t="s">
        <v>4</v>
      </c>
      <c r="D4" s="345">
        <v>4200</v>
      </c>
      <c r="E4" s="344">
        <v>699.0795452654005</v>
      </c>
      <c r="F4" s="341" t="s">
        <v>510</v>
      </c>
      <c r="G4" s="261" t="s">
        <v>53</v>
      </c>
      <c r="H4" s="355" t="s">
        <v>1071</v>
      </c>
      <c r="I4" s="341" t="s">
        <v>391</v>
      </c>
      <c r="J4" s="341" t="s">
        <v>61</v>
      </c>
      <c r="K4" s="358" t="s">
        <v>34</v>
      </c>
      <c r="L4" s="470"/>
      <c r="M4" s="373"/>
      <c r="N4" s="373"/>
    </row>
    <row r="5" spans="1:14" s="346" customFormat="1" ht="15" customHeight="1">
      <c r="A5" s="342">
        <v>4120</v>
      </c>
      <c r="B5" s="343">
        <v>41642</v>
      </c>
      <c r="C5" s="341" t="s">
        <v>55</v>
      </c>
      <c r="D5" s="344">
        <v>1137.24</v>
      </c>
      <c r="E5" s="344">
        <v>189.29076715657718</v>
      </c>
      <c r="F5" s="341" t="s">
        <v>56</v>
      </c>
      <c r="G5" s="261" t="s">
        <v>52</v>
      </c>
      <c r="H5" s="355" t="s">
        <v>118</v>
      </c>
      <c r="I5" s="341" t="s">
        <v>391</v>
      </c>
      <c r="J5" s="341" t="s">
        <v>57</v>
      </c>
      <c r="K5" s="357" t="s">
        <v>24</v>
      </c>
      <c r="L5" s="470"/>
    </row>
    <row r="6" spans="1:14" s="346" customFormat="1" ht="15" customHeight="1">
      <c r="A6" s="342">
        <v>4121</v>
      </c>
      <c r="B6" s="343">
        <v>41642</v>
      </c>
      <c r="C6" s="341" t="s">
        <v>58</v>
      </c>
      <c r="D6" s="345">
        <v>2096.4299999999998</v>
      </c>
      <c r="E6" s="344">
        <v>348.94555501922463</v>
      </c>
      <c r="F6" s="341" t="s">
        <v>56</v>
      </c>
      <c r="G6" s="261" t="s">
        <v>52</v>
      </c>
      <c r="H6" s="355" t="s">
        <v>118</v>
      </c>
      <c r="I6" s="341" t="s">
        <v>391</v>
      </c>
      <c r="J6" s="341" t="s">
        <v>57</v>
      </c>
      <c r="K6" s="357" t="s">
        <v>24</v>
      </c>
      <c r="L6" s="470"/>
    </row>
    <row r="7" spans="1:14" s="346" customFormat="1" ht="15" customHeight="1">
      <c r="A7" s="342">
        <v>4067</v>
      </c>
      <c r="B7" s="343">
        <v>41649</v>
      </c>
      <c r="C7" s="341" t="s">
        <v>73</v>
      </c>
      <c r="D7" s="345">
        <v>190</v>
      </c>
      <c r="E7" s="344">
        <v>31.625027047720501</v>
      </c>
      <c r="F7" s="341" t="s">
        <v>403</v>
      </c>
      <c r="G7" s="261" t="s">
        <v>52</v>
      </c>
      <c r="H7" s="355" t="s">
        <v>118</v>
      </c>
      <c r="I7" s="341" t="s">
        <v>501</v>
      </c>
      <c r="J7" s="341" t="s">
        <v>74</v>
      </c>
      <c r="K7" s="357" t="s">
        <v>26</v>
      </c>
      <c r="L7" s="470"/>
    </row>
    <row r="8" spans="1:14" s="346" customFormat="1" ht="15" customHeight="1">
      <c r="A8" s="342">
        <v>4126</v>
      </c>
      <c r="B8" s="343">
        <v>41650</v>
      </c>
      <c r="C8" s="341" t="s">
        <v>76</v>
      </c>
      <c r="D8" s="345">
        <v>960</v>
      </c>
      <c r="E8" s="344">
        <v>159.78961034637726</v>
      </c>
      <c r="F8" s="341" t="s">
        <v>56</v>
      </c>
      <c r="G8" s="261" t="s">
        <v>52</v>
      </c>
      <c r="H8" s="355" t="s">
        <v>118</v>
      </c>
      <c r="I8" s="341" t="s">
        <v>391</v>
      </c>
      <c r="J8" s="341" t="s">
        <v>57</v>
      </c>
      <c r="K8" s="357" t="s">
        <v>24</v>
      </c>
      <c r="L8" s="470"/>
    </row>
    <row r="9" spans="1:14" s="346" customFormat="1" ht="15" customHeight="1">
      <c r="A9" s="342">
        <v>4089</v>
      </c>
      <c r="B9" s="343">
        <v>41663</v>
      </c>
      <c r="C9" s="341" t="s">
        <v>0</v>
      </c>
      <c r="D9" s="345">
        <v>1366</v>
      </c>
      <c r="E9" s="344">
        <v>227.36729972203264</v>
      </c>
      <c r="F9" s="341" t="s">
        <v>383</v>
      </c>
      <c r="G9" s="261" t="s">
        <v>52</v>
      </c>
      <c r="H9" s="355" t="s">
        <v>1071</v>
      </c>
      <c r="I9" s="341" t="s">
        <v>501</v>
      </c>
      <c r="J9" s="341" t="s">
        <v>61</v>
      </c>
      <c r="K9" s="358" t="s">
        <v>32</v>
      </c>
      <c r="L9" s="470"/>
      <c r="M9" s="373"/>
      <c r="N9" s="373"/>
    </row>
    <row r="10" spans="1:14" s="346" customFormat="1" ht="15" customHeight="1">
      <c r="A10" s="342">
        <v>4124</v>
      </c>
      <c r="B10" s="343">
        <v>41668</v>
      </c>
      <c r="C10" s="341" t="s">
        <v>16</v>
      </c>
      <c r="D10" s="345">
        <v>1137.24</v>
      </c>
      <c r="E10" s="344">
        <v>189.29076715657718</v>
      </c>
      <c r="F10" s="341" t="s">
        <v>56</v>
      </c>
      <c r="G10" s="261" t="s">
        <v>52</v>
      </c>
      <c r="H10" s="355" t="s">
        <v>118</v>
      </c>
      <c r="I10" s="341" t="s">
        <v>391</v>
      </c>
      <c r="J10" s="341" t="s">
        <v>57</v>
      </c>
      <c r="K10" s="357" t="s">
        <v>24</v>
      </c>
      <c r="L10" s="470"/>
    </row>
    <row r="11" spans="1:14" s="346" customFormat="1" ht="15" customHeight="1">
      <c r="A11" s="342">
        <v>4123</v>
      </c>
      <c r="B11" s="343">
        <v>41669</v>
      </c>
      <c r="C11" s="341" t="s">
        <v>17</v>
      </c>
      <c r="D11" s="345">
        <v>2096.4299999999998</v>
      </c>
      <c r="E11" s="344">
        <v>348.94555501922463</v>
      </c>
      <c r="F11" s="341" t="s">
        <v>56</v>
      </c>
      <c r="G11" s="261" t="s">
        <v>52</v>
      </c>
      <c r="H11" s="355" t="s">
        <v>118</v>
      </c>
      <c r="I11" s="341" t="s">
        <v>391</v>
      </c>
      <c r="J11" s="341" t="s">
        <v>57</v>
      </c>
      <c r="K11" s="355" t="s">
        <v>24</v>
      </c>
      <c r="L11" s="470"/>
    </row>
    <row r="12" spans="1:14" s="346" customFormat="1">
      <c r="A12" s="342">
        <v>4166</v>
      </c>
      <c r="B12" s="343">
        <v>41653</v>
      </c>
      <c r="C12" s="341" t="s">
        <v>80</v>
      </c>
      <c r="D12" s="344">
        <v>955.68</v>
      </c>
      <c r="E12" s="344">
        <v>159.07055709981856</v>
      </c>
      <c r="F12" s="341" t="s">
        <v>920</v>
      </c>
      <c r="G12" s="91" t="s">
        <v>116</v>
      </c>
      <c r="H12" s="355" t="s">
        <v>1071</v>
      </c>
      <c r="I12" s="341" t="s">
        <v>391</v>
      </c>
      <c r="J12" s="341" t="s">
        <v>57</v>
      </c>
      <c r="K12" s="356" t="s">
        <v>32</v>
      </c>
      <c r="L12" s="470"/>
      <c r="M12" s="373"/>
      <c r="N12" s="373"/>
    </row>
    <row r="13" spans="1:14" s="346" customFormat="1">
      <c r="A13" s="342">
        <v>4048</v>
      </c>
      <c r="B13" s="343">
        <v>41668</v>
      </c>
      <c r="C13" s="341" t="s">
        <v>6</v>
      </c>
      <c r="D13" s="344">
        <v>5500</v>
      </c>
      <c r="E13" s="344">
        <v>915.46130927611978</v>
      </c>
      <c r="F13" s="341" t="s">
        <v>509</v>
      </c>
      <c r="G13" s="261" t="s">
        <v>108</v>
      </c>
      <c r="H13" s="355" t="s">
        <v>1071</v>
      </c>
      <c r="I13" s="341" t="s">
        <v>501</v>
      </c>
      <c r="J13" s="341" t="s">
        <v>61</v>
      </c>
      <c r="K13" s="355" t="s">
        <v>32</v>
      </c>
      <c r="L13" s="470"/>
    </row>
    <row r="14" spans="1:14" s="346" customFormat="1">
      <c r="A14" s="342">
        <v>4047</v>
      </c>
      <c r="B14" s="343">
        <v>41668</v>
      </c>
      <c r="C14" s="341" t="s">
        <v>5</v>
      </c>
      <c r="D14" s="344">
        <v>3000</v>
      </c>
      <c r="E14" s="344">
        <v>499.34253233242896</v>
      </c>
      <c r="F14" s="341" t="s">
        <v>510</v>
      </c>
      <c r="G14" s="91" t="s">
        <v>108</v>
      </c>
      <c r="H14" s="355" t="s">
        <v>118</v>
      </c>
      <c r="I14" s="341" t="s">
        <v>501</v>
      </c>
      <c r="J14" s="341" t="s">
        <v>61</v>
      </c>
      <c r="K14" s="355" t="s">
        <v>24</v>
      </c>
      <c r="L14" s="470"/>
    </row>
    <row r="15" spans="1:14" s="346" customFormat="1">
      <c r="A15" s="342">
        <v>4050</v>
      </c>
      <c r="B15" s="343">
        <v>41668</v>
      </c>
      <c r="C15" s="341" t="s">
        <v>1201</v>
      </c>
      <c r="D15" s="344">
        <v>13500</v>
      </c>
      <c r="E15" s="344">
        <v>2247.0413954959304</v>
      </c>
      <c r="F15" s="341" t="s">
        <v>304</v>
      </c>
      <c r="G15" s="261" t="s">
        <v>108</v>
      </c>
      <c r="H15" s="355" t="s">
        <v>118</v>
      </c>
      <c r="I15" s="341" t="s">
        <v>501</v>
      </c>
      <c r="J15" s="341" t="s">
        <v>61</v>
      </c>
      <c r="K15" s="355" t="s">
        <v>25</v>
      </c>
      <c r="L15" s="470"/>
    </row>
    <row r="16" spans="1:14" s="346" customFormat="1">
      <c r="A16" s="342">
        <v>4055</v>
      </c>
      <c r="B16" s="343">
        <v>41668</v>
      </c>
      <c r="C16" s="341" t="s">
        <v>1202</v>
      </c>
      <c r="D16" s="344">
        <v>7500</v>
      </c>
      <c r="E16" s="344">
        <v>1248.3563308310725</v>
      </c>
      <c r="F16" s="341" t="s">
        <v>404</v>
      </c>
      <c r="G16" s="261" t="s">
        <v>108</v>
      </c>
      <c r="H16" s="355" t="s">
        <v>118</v>
      </c>
      <c r="I16" s="341" t="s">
        <v>501</v>
      </c>
      <c r="J16" s="341" t="s">
        <v>61</v>
      </c>
      <c r="K16" s="355" t="s">
        <v>25</v>
      </c>
      <c r="L16" s="470"/>
    </row>
    <row r="17" spans="1:14" s="346" customFormat="1" ht="14" customHeight="1">
      <c r="A17" s="342">
        <v>4056</v>
      </c>
      <c r="B17" s="343">
        <v>41663</v>
      </c>
      <c r="C17" s="341" t="s">
        <v>93</v>
      </c>
      <c r="D17" s="344">
        <v>4000</v>
      </c>
      <c r="E17" s="344">
        <v>665.79004310990524</v>
      </c>
      <c r="F17" s="341" t="s">
        <v>647</v>
      </c>
      <c r="G17" s="259" t="s">
        <v>107</v>
      </c>
      <c r="H17" s="355" t="s">
        <v>1071</v>
      </c>
      <c r="I17" s="341" t="s">
        <v>501</v>
      </c>
      <c r="J17" s="341" t="s">
        <v>74</v>
      </c>
      <c r="K17" s="355" t="s">
        <v>41</v>
      </c>
      <c r="L17" s="470"/>
    </row>
    <row r="18" spans="1:14" s="346" customFormat="1" ht="14" customHeight="1">
      <c r="A18" s="342">
        <v>4159</v>
      </c>
      <c r="B18" s="343">
        <v>41647</v>
      </c>
      <c r="C18" s="341" t="s">
        <v>63</v>
      </c>
      <c r="D18" s="347"/>
      <c r="E18" s="344">
        <v>2500</v>
      </c>
      <c r="F18" s="341" t="s">
        <v>64</v>
      </c>
      <c r="G18" s="266" t="s">
        <v>109</v>
      </c>
      <c r="H18" s="355" t="s">
        <v>1072</v>
      </c>
      <c r="I18" s="341" t="s">
        <v>501</v>
      </c>
      <c r="J18" s="341" t="s">
        <v>62</v>
      </c>
      <c r="K18" s="355"/>
      <c r="L18" s="470"/>
      <c r="M18" s="373"/>
      <c r="N18" s="373"/>
    </row>
    <row r="19" spans="1:14" s="346" customFormat="1" ht="14" customHeight="1">
      <c r="A19" s="342">
        <v>4161</v>
      </c>
      <c r="B19" s="343">
        <v>41647</v>
      </c>
      <c r="C19" s="341" t="s">
        <v>67</v>
      </c>
      <c r="D19" s="347"/>
      <c r="E19" s="344">
        <v>2500</v>
      </c>
      <c r="F19" s="341" t="s">
        <v>68</v>
      </c>
      <c r="G19" s="266" t="s">
        <v>109</v>
      </c>
      <c r="H19" s="355" t="s">
        <v>1072</v>
      </c>
      <c r="I19" s="341" t="s">
        <v>501</v>
      </c>
      <c r="J19" s="341" t="s">
        <v>62</v>
      </c>
      <c r="K19" s="355"/>
      <c r="L19" s="470"/>
    </row>
    <row r="20" spans="1:14" s="346" customFormat="1" ht="14" customHeight="1">
      <c r="A20" s="342">
        <v>4160</v>
      </c>
      <c r="B20" s="343">
        <v>41647</v>
      </c>
      <c r="C20" s="341" t="s">
        <v>65</v>
      </c>
      <c r="D20" s="347"/>
      <c r="E20" s="344">
        <v>2500</v>
      </c>
      <c r="F20" s="341" t="s">
        <v>66</v>
      </c>
      <c r="G20" s="266" t="s">
        <v>109</v>
      </c>
      <c r="H20" s="355" t="s">
        <v>1072</v>
      </c>
      <c r="I20" s="341" t="s">
        <v>501</v>
      </c>
      <c r="J20" s="341" t="s">
        <v>62</v>
      </c>
      <c r="K20" s="355"/>
      <c r="L20" s="470"/>
    </row>
    <row r="21" spans="1:14" s="346" customFormat="1" ht="14" customHeight="1">
      <c r="A21" s="342">
        <v>4162</v>
      </c>
      <c r="B21" s="343">
        <v>41647</v>
      </c>
      <c r="C21" s="341" t="s">
        <v>69</v>
      </c>
      <c r="D21" s="347"/>
      <c r="E21" s="344">
        <v>5000</v>
      </c>
      <c r="F21" s="341" t="s">
        <v>70</v>
      </c>
      <c r="G21" s="266" t="s">
        <v>109</v>
      </c>
      <c r="H21" s="355" t="s">
        <v>1072</v>
      </c>
      <c r="I21" s="341" t="s">
        <v>501</v>
      </c>
      <c r="J21" s="341" t="s">
        <v>62</v>
      </c>
      <c r="K21" s="355"/>
      <c r="L21" s="470"/>
    </row>
    <row r="22" spans="1:14" s="346" customFormat="1" ht="14" customHeight="1">
      <c r="A22" s="342">
        <v>4163</v>
      </c>
      <c r="B22" s="343">
        <v>41647</v>
      </c>
      <c r="C22" s="341" t="s">
        <v>71</v>
      </c>
      <c r="D22" s="347"/>
      <c r="E22" s="344">
        <v>100</v>
      </c>
      <c r="F22" s="341" t="s">
        <v>72</v>
      </c>
      <c r="G22" s="266" t="s">
        <v>109</v>
      </c>
      <c r="H22" s="355" t="s">
        <v>118</v>
      </c>
      <c r="I22" s="341" t="s">
        <v>501</v>
      </c>
      <c r="J22" s="341" t="s">
        <v>62</v>
      </c>
      <c r="K22" s="355" t="s">
        <v>23</v>
      </c>
      <c r="L22" s="470"/>
    </row>
    <row r="23" spans="1:14" s="346" customFormat="1" ht="14" customHeight="1">
      <c r="A23" s="342">
        <v>4066</v>
      </c>
      <c r="B23" s="343">
        <v>41656</v>
      </c>
      <c r="C23" s="341" t="s">
        <v>86</v>
      </c>
      <c r="D23" s="344">
        <v>15147</v>
      </c>
      <c r="E23" s="344">
        <v>2521.1804457464336</v>
      </c>
      <c r="F23" s="341" t="s">
        <v>87</v>
      </c>
      <c r="G23" s="266" t="s">
        <v>109</v>
      </c>
      <c r="H23" s="355" t="s">
        <v>1072</v>
      </c>
      <c r="I23" s="341" t="s">
        <v>501</v>
      </c>
      <c r="J23" s="341" t="s">
        <v>74</v>
      </c>
      <c r="K23" s="357"/>
      <c r="L23" s="470"/>
    </row>
    <row r="24" spans="1:14" s="346" customFormat="1" ht="14" customHeight="1">
      <c r="A24" s="342">
        <v>4063</v>
      </c>
      <c r="B24" s="343">
        <v>41645</v>
      </c>
      <c r="C24" s="341" t="s">
        <v>59</v>
      </c>
      <c r="D24" s="347"/>
      <c r="E24" s="344">
        <v>21.44</v>
      </c>
      <c r="F24" s="341" t="s">
        <v>60</v>
      </c>
      <c r="G24" s="261" t="s">
        <v>114</v>
      </c>
      <c r="H24" s="355" t="s">
        <v>1071</v>
      </c>
      <c r="I24" s="341" t="s">
        <v>501</v>
      </c>
      <c r="J24" s="341" t="s">
        <v>61</v>
      </c>
      <c r="K24" s="358" t="s">
        <v>29</v>
      </c>
      <c r="L24" s="470"/>
      <c r="M24" s="373"/>
      <c r="N24" s="373"/>
    </row>
    <row r="25" spans="1:14" s="346" customFormat="1">
      <c r="A25" s="342">
        <v>4127</v>
      </c>
      <c r="B25" s="343">
        <v>41649</v>
      </c>
      <c r="C25" s="341" t="s">
        <v>75</v>
      </c>
      <c r="D25" s="344">
        <v>352.54</v>
      </c>
      <c r="E25" s="344">
        <v>58.679405449491504</v>
      </c>
      <c r="F25" s="341" t="s">
        <v>181</v>
      </c>
      <c r="G25" s="261" t="s">
        <v>114</v>
      </c>
      <c r="H25" s="355" t="s">
        <v>118</v>
      </c>
      <c r="I25" s="341" t="s">
        <v>391</v>
      </c>
      <c r="J25" s="341" t="s">
        <v>57</v>
      </c>
      <c r="K25" s="357" t="s">
        <v>23</v>
      </c>
      <c r="L25" s="470"/>
    </row>
    <row r="26" spans="1:14" s="346" customFormat="1" ht="14" customHeight="1">
      <c r="A26" s="342">
        <v>4065</v>
      </c>
      <c r="B26" s="343">
        <v>41652</v>
      </c>
      <c r="C26" s="341" t="s">
        <v>77</v>
      </c>
      <c r="D26" s="344">
        <v>63</v>
      </c>
      <c r="E26" s="344">
        <v>10.486193178981008</v>
      </c>
      <c r="F26" s="341" t="s">
        <v>78</v>
      </c>
      <c r="G26" s="261" t="s">
        <v>114</v>
      </c>
      <c r="H26" s="355" t="s">
        <v>118</v>
      </c>
      <c r="I26" s="341" t="s">
        <v>501</v>
      </c>
      <c r="J26" s="341" t="s">
        <v>61</v>
      </c>
      <c r="K26" s="357" t="s">
        <v>23</v>
      </c>
      <c r="L26" s="470"/>
    </row>
    <row r="27" spans="1:14" s="346" customFormat="1">
      <c r="A27" s="342">
        <v>4125</v>
      </c>
      <c r="B27" s="343">
        <v>41654</v>
      </c>
      <c r="C27" s="341" t="s">
        <v>952</v>
      </c>
      <c r="D27" s="344">
        <v>173.6</v>
      </c>
      <c r="E27" s="344">
        <v>28.895287870969888</v>
      </c>
      <c r="F27" s="341" t="s">
        <v>302</v>
      </c>
      <c r="G27" s="261" t="s">
        <v>114</v>
      </c>
      <c r="H27" s="355" t="s">
        <v>118</v>
      </c>
      <c r="I27" s="341" t="s">
        <v>391</v>
      </c>
      <c r="J27" s="341" t="s">
        <v>57</v>
      </c>
      <c r="K27" s="357" t="s">
        <v>23</v>
      </c>
      <c r="L27" s="470"/>
    </row>
    <row r="28" spans="1:14" s="346" customFormat="1">
      <c r="A28" s="342">
        <v>4061</v>
      </c>
      <c r="B28" s="343">
        <v>41654</v>
      </c>
      <c r="C28" s="341" t="s">
        <v>82</v>
      </c>
      <c r="D28" s="344">
        <v>12</v>
      </c>
      <c r="E28" s="344">
        <v>1.9973701293297157</v>
      </c>
      <c r="F28" s="341" t="s">
        <v>403</v>
      </c>
      <c r="G28" s="261" t="s">
        <v>114</v>
      </c>
      <c r="H28" s="355" t="s">
        <v>1071</v>
      </c>
      <c r="I28" s="341" t="s">
        <v>501</v>
      </c>
      <c r="J28" s="341" t="s">
        <v>61</v>
      </c>
      <c r="K28" s="358" t="s">
        <v>29</v>
      </c>
      <c r="L28" s="470"/>
      <c r="M28" s="373"/>
      <c r="N28" s="373"/>
    </row>
    <row r="29" spans="1:14" s="346" customFormat="1">
      <c r="A29" s="342">
        <v>4060</v>
      </c>
      <c r="B29" s="343">
        <v>41655</v>
      </c>
      <c r="C29" s="341" t="s">
        <v>180</v>
      </c>
      <c r="D29" s="344">
        <v>50</v>
      </c>
      <c r="E29" s="344">
        <v>8.3223755388738159</v>
      </c>
      <c r="F29" s="341" t="s">
        <v>403</v>
      </c>
      <c r="G29" s="261" t="s">
        <v>114</v>
      </c>
      <c r="H29" s="355" t="s">
        <v>1071</v>
      </c>
      <c r="I29" s="341" t="s">
        <v>501</v>
      </c>
      <c r="J29" s="341" t="s">
        <v>61</v>
      </c>
      <c r="K29" s="358" t="s">
        <v>34</v>
      </c>
      <c r="L29" s="470"/>
      <c r="M29" s="373"/>
      <c r="N29" s="373"/>
    </row>
    <row r="30" spans="1:14" s="346" customFormat="1">
      <c r="A30" s="342">
        <v>4068</v>
      </c>
      <c r="B30" s="343">
        <v>41655</v>
      </c>
      <c r="C30" s="341" t="s">
        <v>83</v>
      </c>
      <c r="D30" s="344">
        <v>228</v>
      </c>
      <c r="E30" s="344">
        <v>37.950032457264598</v>
      </c>
      <c r="F30" s="341" t="s">
        <v>84</v>
      </c>
      <c r="G30" s="261" t="s">
        <v>114</v>
      </c>
      <c r="H30" s="355" t="s">
        <v>1071</v>
      </c>
      <c r="I30" s="341" t="s">
        <v>391</v>
      </c>
      <c r="J30" s="341" t="s">
        <v>74</v>
      </c>
      <c r="K30" s="357" t="s">
        <v>37</v>
      </c>
      <c r="L30" s="470"/>
    </row>
    <row r="31" spans="1:14" s="346" customFormat="1">
      <c r="A31" s="342">
        <v>4062</v>
      </c>
      <c r="B31" s="343">
        <v>41656</v>
      </c>
      <c r="C31" s="341" t="s">
        <v>85</v>
      </c>
      <c r="D31" s="344">
        <v>43</v>
      </c>
      <c r="E31" s="344">
        <v>7.1572429634314814</v>
      </c>
      <c r="F31" s="341" t="s">
        <v>609</v>
      </c>
      <c r="G31" s="91" t="s">
        <v>114</v>
      </c>
      <c r="H31" s="355" t="s">
        <v>1071</v>
      </c>
      <c r="I31" s="341" t="s">
        <v>501</v>
      </c>
      <c r="J31" s="341" t="s">
        <v>74</v>
      </c>
      <c r="K31" s="358" t="s">
        <v>29</v>
      </c>
      <c r="L31" s="470"/>
      <c r="M31" s="373"/>
      <c r="N31" s="373"/>
    </row>
    <row r="32" spans="1:14" s="346" customFormat="1" ht="15" customHeight="1">
      <c r="A32" s="342">
        <v>4059</v>
      </c>
      <c r="B32" s="343">
        <v>41659</v>
      </c>
      <c r="C32" s="341" t="s">
        <v>90</v>
      </c>
      <c r="D32" s="345">
        <v>212</v>
      </c>
      <c r="E32" s="344">
        <v>35.28687228482498</v>
      </c>
      <c r="F32" s="341" t="s">
        <v>354</v>
      </c>
      <c r="G32" s="261" t="s">
        <v>114</v>
      </c>
      <c r="H32" s="355" t="s">
        <v>1071</v>
      </c>
      <c r="I32" s="341" t="s">
        <v>501</v>
      </c>
      <c r="J32" s="341" t="s">
        <v>74</v>
      </c>
      <c r="K32" s="358" t="s">
        <v>29</v>
      </c>
      <c r="L32" s="470"/>
    </row>
    <row r="33" spans="1:14" s="346" customFormat="1">
      <c r="A33" s="342">
        <v>4057</v>
      </c>
      <c r="B33" s="343">
        <v>41659</v>
      </c>
      <c r="C33" s="341" t="s">
        <v>88</v>
      </c>
      <c r="D33" s="344">
        <v>84</v>
      </c>
      <c r="E33" s="344">
        <v>13.981590905308011</v>
      </c>
      <c r="F33" s="341" t="s">
        <v>354</v>
      </c>
      <c r="G33" s="261" t="s">
        <v>114</v>
      </c>
      <c r="H33" s="355" t="s">
        <v>1071</v>
      </c>
      <c r="I33" s="341" t="s">
        <v>501</v>
      </c>
      <c r="J33" s="341" t="s">
        <v>74</v>
      </c>
      <c r="K33" s="358" t="s">
        <v>29</v>
      </c>
      <c r="L33" s="470"/>
    </row>
    <row r="34" spans="1:14" s="346" customFormat="1" ht="14" customHeight="1">
      <c r="A34" s="342">
        <v>4058</v>
      </c>
      <c r="B34" s="343">
        <v>41659</v>
      </c>
      <c r="C34" s="341" t="s">
        <v>89</v>
      </c>
      <c r="D34" s="344">
        <v>28</v>
      </c>
      <c r="E34" s="344">
        <v>4.6605303017693371</v>
      </c>
      <c r="F34" s="341" t="s">
        <v>354</v>
      </c>
      <c r="G34" s="261" t="s">
        <v>114</v>
      </c>
      <c r="H34" s="355" t="s">
        <v>1071</v>
      </c>
      <c r="I34" s="341" t="s">
        <v>501</v>
      </c>
      <c r="J34" s="341" t="s">
        <v>74</v>
      </c>
      <c r="K34" s="358" t="s">
        <v>29</v>
      </c>
      <c r="L34" s="470"/>
    </row>
    <row r="35" spans="1:14" s="346" customFormat="1" ht="14" customHeight="1">
      <c r="A35" s="342">
        <v>4164</v>
      </c>
      <c r="B35" s="343">
        <v>41666</v>
      </c>
      <c r="C35" s="341" t="s">
        <v>1</v>
      </c>
      <c r="D35" s="347"/>
      <c r="E35" s="344">
        <v>15</v>
      </c>
      <c r="F35" s="341" t="s">
        <v>363</v>
      </c>
      <c r="G35" s="261" t="s">
        <v>114</v>
      </c>
      <c r="H35" s="355" t="s">
        <v>1071</v>
      </c>
      <c r="I35" s="341" t="s">
        <v>501</v>
      </c>
      <c r="J35" s="341" t="s">
        <v>62</v>
      </c>
      <c r="K35" s="358" t="s">
        <v>29</v>
      </c>
      <c r="L35" s="470"/>
    </row>
    <row r="36" spans="1:14" s="346" customFormat="1">
      <c r="A36" s="342">
        <v>4053</v>
      </c>
      <c r="B36" s="343">
        <v>41668</v>
      </c>
      <c r="C36" s="341" t="s">
        <v>1203</v>
      </c>
      <c r="D36" s="344">
        <v>4500</v>
      </c>
      <c r="E36" s="344">
        <v>749.01379849864338</v>
      </c>
      <c r="F36" s="341" t="s">
        <v>183</v>
      </c>
      <c r="G36" s="261" t="s">
        <v>111</v>
      </c>
      <c r="H36" s="357" t="s">
        <v>118</v>
      </c>
      <c r="I36" s="341" t="s">
        <v>501</v>
      </c>
      <c r="J36" s="341" t="s">
        <v>74</v>
      </c>
      <c r="K36" s="357" t="s">
        <v>24</v>
      </c>
      <c r="L36" s="470"/>
    </row>
    <row r="37" spans="1:14" s="346" customFormat="1" ht="14" customHeight="1">
      <c r="A37" s="342">
        <v>4054</v>
      </c>
      <c r="B37" s="343">
        <v>41668</v>
      </c>
      <c r="C37" s="341" t="s">
        <v>1204</v>
      </c>
      <c r="D37" s="344">
        <v>800</v>
      </c>
      <c r="E37" s="344">
        <v>133.15800862198105</v>
      </c>
      <c r="F37" s="341" t="s">
        <v>13</v>
      </c>
      <c r="G37" s="261" t="s">
        <v>111</v>
      </c>
      <c r="H37" s="357" t="s">
        <v>118</v>
      </c>
      <c r="I37" s="341" t="s">
        <v>501</v>
      </c>
      <c r="J37" s="341" t="s">
        <v>74</v>
      </c>
      <c r="K37" s="357" t="s">
        <v>25</v>
      </c>
      <c r="L37" s="470"/>
    </row>
    <row r="38" spans="1:14" s="346" customFormat="1">
      <c r="A38" s="342">
        <v>4049</v>
      </c>
      <c r="B38" s="343">
        <v>41668</v>
      </c>
      <c r="C38" s="341" t="s">
        <v>1205</v>
      </c>
      <c r="D38" s="344">
        <v>9750</v>
      </c>
      <c r="E38" s="344">
        <v>1622.863230080394</v>
      </c>
      <c r="F38" s="341" t="s">
        <v>135</v>
      </c>
      <c r="G38" s="261" t="s">
        <v>111</v>
      </c>
      <c r="H38" s="357" t="s">
        <v>118</v>
      </c>
      <c r="I38" s="341" t="s">
        <v>501</v>
      </c>
      <c r="J38" s="341" t="s">
        <v>61</v>
      </c>
      <c r="K38" s="358" t="s">
        <v>25</v>
      </c>
      <c r="L38" s="470"/>
    </row>
    <row r="39" spans="1:14" s="346" customFormat="1">
      <c r="A39" s="342">
        <v>4052</v>
      </c>
      <c r="B39" s="343">
        <v>41668</v>
      </c>
      <c r="C39" s="341" t="s">
        <v>1206</v>
      </c>
      <c r="D39" s="344">
        <v>4500</v>
      </c>
      <c r="E39" s="344">
        <v>749.01379849864338</v>
      </c>
      <c r="F39" s="341" t="s">
        <v>182</v>
      </c>
      <c r="G39" s="261" t="s">
        <v>111</v>
      </c>
      <c r="H39" s="357" t="s">
        <v>118</v>
      </c>
      <c r="I39" s="341" t="s">
        <v>501</v>
      </c>
      <c r="J39" s="341" t="s">
        <v>74</v>
      </c>
      <c r="K39" s="357" t="s">
        <v>26</v>
      </c>
      <c r="L39" s="470"/>
    </row>
    <row r="40" spans="1:14" s="346" customFormat="1" ht="14" customHeight="1">
      <c r="A40" s="342">
        <v>4051</v>
      </c>
      <c r="B40" s="343">
        <v>41668</v>
      </c>
      <c r="C40" s="341" t="s">
        <v>1207</v>
      </c>
      <c r="D40" s="344">
        <v>18000</v>
      </c>
      <c r="E40" s="344">
        <v>2996.0551939945735</v>
      </c>
      <c r="F40" s="341" t="s">
        <v>184</v>
      </c>
      <c r="G40" s="261" t="s">
        <v>111</v>
      </c>
      <c r="H40" s="357" t="s">
        <v>118</v>
      </c>
      <c r="I40" s="341" t="s">
        <v>501</v>
      </c>
      <c r="J40" s="341" t="s">
        <v>74</v>
      </c>
      <c r="K40" s="357" t="s">
        <v>26</v>
      </c>
      <c r="L40" s="470"/>
    </row>
    <row r="41" spans="1:14" s="346" customFormat="1" ht="14" customHeight="1">
      <c r="A41" s="342">
        <v>4158</v>
      </c>
      <c r="B41" s="343">
        <v>41647</v>
      </c>
      <c r="C41" s="341" t="s">
        <v>649</v>
      </c>
      <c r="D41" s="347"/>
      <c r="E41" s="344">
        <v>200</v>
      </c>
      <c r="F41" s="341" t="s">
        <v>185</v>
      </c>
      <c r="G41" s="263" t="s">
        <v>113</v>
      </c>
      <c r="H41" s="357" t="s">
        <v>123</v>
      </c>
      <c r="I41" s="341" t="s">
        <v>501</v>
      </c>
      <c r="J41" s="341" t="s">
        <v>62</v>
      </c>
      <c r="K41" s="357"/>
      <c r="L41" s="470"/>
    </row>
    <row r="42" spans="1:14" s="346" customFormat="1">
      <c r="A42" s="342">
        <v>4064</v>
      </c>
      <c r="B42" s="343">
        <v>41653</v>
      </c>
      <c r="C42" s="341" t="s">
        <v>79</v>
      </c>
      <c r="D42" s="344">
        <v>80</v>
      </c>
      <c r="E42" s="344">
        <v>13.315800862198106</v>
      </c>
      <c r="F42" s="341" t="s">
        <v>510</v>
      </c>
      <c r="G42" s="261" t="s">
        <v>117</v>
      </c>
      <c r="H42" s="357" t="s">
        <v>1071</v>
      </c>
      <c r="I42" s="341" t="s">
        <v>501</v>
      </c>
      <c r="J42" s="341" t="s">
        <v>61</v>
      </c>
      <c r="K42" s="358" t="s">
        <v>29</v>
      </c>
      <c r="L42" s="470"/>
    </row>
    <row r="43" spans="1:14" s="346" customFormat="1" ht="14" customHeight="1">
      <c r="A43" s="342">
        <v>4069</v>
      </c>
      <c r="B43" s="343">
        <v>41668</v>
      </c>
      <c r="C43" s="341" t="s">
        <v>15</v>
      </c>
      <c r="D43" s="344">
        <v>66</v>
      </c>
      <c r="E43" s="344">
        <v>10.985535711313437</v>
      </c>
      <c r="F43" s="341" t="s">
        <v>179</v>
      </c>
      <c r="G43" s="261" t="s">
        <v>117</v>
      </c>
      <c r="H43" s="357" t="s">
        <v>1071</v>
      </c>
      <c r="I43" s="341" t="s">
        <v>391</v>
      </c>
      <c r="J43" s="341" t="s">
        <v>61</v>
      </c>
      <c r="K43" s="358" t="s">
        <v>29</v>
      </c>
      <c r="L43" s="470"/>
    </row>
    <row r="44" spans="1:14" s="346" customFormat="1" ht="14" customHeight="1">
      <c r="A44" s="342">
        <v>4030</v>
      </c>
      <c r="B44" s="343">
        <v>41670</v>
      </c>
      <c r="C44" s="341" t="s">
        <v>18</v>
      </c>
      <c r="D44" s="347"/>
      <c r="E44" s="344">
        <v>210.54</v>
      </c>
      <c r="F44" s="341" t="s">
        <v>168</v>
      </c>
      <c r="G44" s="261" t="s">
        <v>117</v>
      </c>
      <c r="H44" s="357" t="s">
        <v>1071</v>
      </c>
      <c r="I44" s="341" t="s">
        <v>501</v>
      </c>
      <c r="J44" s="341" t="s">
        <v>61</v>
      </c>
      <c r="K44" s="358" t="s">
        <v>30</v>
      </c>
      <c r="L44" s="470"/>
    </row>
    <row r="45" spans="1:14" s="346" customFormat="1">
      <c r="A45" s="342">
        <v>4076</v>
      </c>
      <c r="B45" s="343">
        <v>41662</v>
      </c>
      <c r="C45" s="341" t="s">
        <v>92</v>
      </c>
      <c r="D45" s="344">
        <v>44.5</v>
      </c>
      <c r="E45" s="344">
        <v>7.406914229597696</v>
      </c>
      <c r="F45" s="341" t="s">
        <v>264</v>
      </c>
      <c r="G45" s="258" t="s">
        <v>106</v>
      </c>
      <c r="H45" s="357" t="s">
        <v>1071</v>
      </c>
      <c r="I45" s="341" t="s">
        <v>501</v>
      </c>
      <c r="J45" s="341" t="s">
        <v>74</v>
      </c>
      <c r="K45" s="357" t="s">
        <v>34</v>
      </c>
      <c r="L45" s="470"/>
      <c r="M45" s="373"/>
      <c r="N45" s="373"/>
    </row>
    <row r="46" spans="1:14" s="346" customFormat="1">
      <c r="A46" s="342">
        <v>4075</v>
      </c>
      <c r="B46" s="343">
        <v>41662</v>
      </c>
      <c r="C46" s="341" t="s">
        <v>91</v>
      </c>
      <c r="D46" s="344">
        <v>370</v>
      </c>
      <c r="E46" s="344">
        <v>61.585578987666239</v>
      </c>
      <c r="F46" s="341" t="s">
        <v>264</v>
      </c>
      <c r="G46" s="259" t="s">
        <v>106</v>
      </c>
      <c r="H46" s="357" t="s">
        <v>1071</v>
      </c>
      <c r="I46" s="341" t="s">
        <v>501</v>
      </c>
      <c r="J46" s="341" t="s">
        <v>74</v>
      </c>
      <c r="K46" s="357" t="s">
        <v>34</v>
      </c>
      <c r="L46" s="470"/>
      <c r="M46" s="373"/>
      <c r="N46" s="373"/>
    </row>
    <row r="47" spans="1:14" s="346" customFormat="1">
      <c r="A47" s="342">
        <v>4119</v>
      </c>
      <c r="B47" s="343">
        <v>41645</v>
      </c>
      <c r="C47" s="341" t="s">
        <v>553</v>
      </c>
      <c r="D47" s="344">
        <v>17647.16</v>
      </c>
      <c r="E47" s="344">
        <v>2937.3258542918488</v>
      </c>
      <c r="F47" s="341" t="s">
        <v>920</v>
      </c>
      <c r="G47" s="268" t="s">
        <v>115</v>
      </c>
      <c r="H47" s="357" t="s">
        <v>118</v>
      </c>
      <c r="I47" s="341" t="s">
        <v>391</v>
      </c>
      <c r="J47" s="341" t="s">
        <v>57</v>
      </c>
      <c r="K47" s="357" t="s">
        <v>23</v>
      </c>
      <c r="L47" s="470"/>
    </row>
    <row r="48" spans="1:14" s="346" customFormat="1" ht="15" customHeight="1">
      <c r="A48" s="342">
        <v>4167</v>
      </c>
      <c r="B48" s="343">
        <v>41653</v>
      </c>
      <c r="C48" s="341" t="s">
        <v>81</v>
      </c>
      <c r="D48" s="345">
        <v>2117.65</v>
      </c>
      <c r="E48" s="344">
        <v>352.47757119792271</v>
      </c>
      <c r="F48" s="341" t="s">
        <v>659</v>
      </c>
      <c r="G48" s="256" t="s">
        <v>115</v>
      </c>
      <c r="H48" s="357" t="s">
        <v>1071</v>
      </c>
      <c r="I48" s="341" t="s">
        <v>391</v>
      </c>
      <c r="J48" s="341" t="s">
        <v>57</v>
      </c>
      <c r="K48" s="358" t="s">
        <v>29</v>
      </c>
      <c r="L48" s="470"/>
    </row>
    <row r="51" spans="1:15">
      <c r="E51" s="255">
        <f>SUM(E2:E48)</f>
        <v>36251.006365285713</v>
      </c>
    </row>
    <row r="52" spans="1:15" s="470" customFormat="1">
      <c r="A52" s="218"/>
      <c r="B52" s="88"/>
      <c r="C52" s="88"/>
      <c r="D52" s="89"/>
      <c r="E52" s="255"/>
      <c r="F52" s="88"/>
      <c r="G52" s="88"/>
      <c r="H52" s="277"/>
      <c r="I52" s="90"/>
      <c r="J52" s="88"/>
      <c r="K52" s="359" t="s">
        <v>28</v>
      </c>
      <c r="M52" s="88"/>
      <c r="N52" s="88"/>
      <c r="O52" s="88"/>
    </row>
    <row r="53" spans="1:15" s="470" customFormat="1">
      <c r="A53" s="218"/>
      <c r="B53" s="88"/>
      <c r="C53" s="88"/>
      <c r="D53" s="89"/>
      <c r="E53" s="255"/>
      <c r="F53" s="88"/>
      <c r="G53" s="88"/>
      <c r="H53" s="277">
        <v>30603</v>
      </c>
      <c r="I53" s="90"/>
      <c r="J53" s="88"/>
      <c r="K53" s="277" t="s">
        <v>23</v>
      </c>
      <c r="M53" s="88"/>
      <c r="N53" s="88"/>
      <c r="O53" s="88"/>
    </row>
    <row r="54" spans="1:15" s="470" customFormat="1">
      <c r="A54" s="218"/>
      <c r="B54" s="88"/>
      <c r="C54" s="88"/>
      <c r="D54" s="89"/>
      <c r="E54" s="255"/>
      <c r="F54" s="88"/>
      <c r="G54" s="88"/>
      <c r="H54" s="277">
        <v>15000</v>
      </c>
      <c r="I54" s="90"/>
      <c r="J54" s="88"/>
      <c r="K54" s="277" t="s">
        <v>24</v>
      </c>
      <c r="M54" s="88"/>
      <c r="N54" s="88"/>
      <c r="O54" s="88"/>
    </row>
    <row r="55" spans="1:15" s="470" customFormat="1">
      <c r="A55" s="218"/>
      <c r="B55" s="88"/>
      <c r="C55" s="88"/>
      <c r="D55" s="89"/>
      <c r="E55" s="255"/>
      <c r="F55" s="88"/>
      <c r="G55" s="88"/>
      <c r="H55" s="277">
        <v>15000</v>
      </c>
      <c r="I55" s="90"/>
      <c r="J55" s="88"/>
      <c r="K55" s="277" t="s">
        <v>25</v>
      </c>
      <c r="M55" s="88"/>
      <c r="N55" s="88"/>
      <c r="O55" s="88"/>
    </row>
    <row r="56" spans="1:15" s="470" customFormat="1">
      <c r="A56" s="218"/>
      <c r="B56" s="88"/>
      <c r="C56" s="88"/>
      <c r="D56" s="89"/>
      <c r="E56" s="255"/>
      <c r="F56" s="88"/>
      <c r="G56" s="88"/>
      <c r="H56" s="277">
        <v>17400</v>
      </c>
      <c r="I56" s="90"/>
      <c r="J56" s="88"/>
      <c r="K56" s="277" t="s">
        <v>26</v>
      </c>
      <c r="M56" s="88"/>
      <c r="N56" s="88"/>
      <c r="O56" s="88"/>
    </row>
    <row r="57" spans="1:15" s="470" customFormat="1">
      <c r="A57" s="218"/>
      <c r="B57" s="88"/>
      <c r="C57" s="88"/>
      <c r="D57" s="89"/>
      <c r="E57" s="255"/>
      <c r="F57" s="88"/>
      <c r="G57" s="88"/>
      <c r="H57" s="277">
        <v>21996</v>
      </c>
      <c r="I57" s="90"/>
      <c r="J57" s="88"/>
      <c r="K57" s="277" t="s">
        <v>27</v>
      </c>
      <c r="M57" s="88"/>
      <c r="N57" s="88"/>
      <c r="O57" s="88"/>
    </row>
    <row r="58" spans="1:15" s="470" customFormat="1">
      <c r="A58" s="218"/>
      <c r="B58" s="88"/>
      <c r="C58" s="88"/>
      <c r="D58" s="89"/>
      <c r="E58" s="255"/>
      <c r="F58" s="88"/>
      <c r="G58" s="88"/>
      <c r="H58" s="277">
        <v>37000</v>
      </c>
      <c r="I58" s="90"/>
      <c r="J58" s="88"/>
      <c r="K58" s="277" t="s">
        <v>29</v>
      </c>
      <c r="M58" s="88"/>
      <c r="N58" s="88"/>
      <c r="O58" s="88"/>
    </row>
    <row r="59" spans="1:15" s="470" customFormat="1">
      <c r="A59" s="218"/>
      <c r="B59" s="88"/>
      <c r="C59" s="88"/>
      <c r="D59" s="89"/>
      <c r="E59" s="255"/>
      <c r="F59" s="88"/>
      <c r="G59" s="88"/>
      <c r="H59" s="277">
        <v>40000</v>
      </c>
      <c r="I59" s="90"/>
      <c r="J59" s="88"/>
      <c r="K59" s="277" t="s">
        <v>30</v>
      </c>
      <c r="M59" s="88"/>
      <c r="N59" s="88"/>
      <c r="O59" s="88"/>
    </row>
    <row r="60" spans="1:15" s="470" customFormat="1">
      <c r="A60" s="218"/>
      <c r="B60" s="88"/>
      <c r="C60" s="88"/>
      <c r="D60" s="89"/>
      <c r="E60" s="255"/>
      <c r="F60" s="88"/>
      <c r="G60" s="88"/>
      <c r="H60" s="277">
        <v>23000</v>
      </c>
      <c r="I60" s="90"/>
      <c r="J60" s="88"/>
      <c r="K60" s="277" t="s">
        <v>32</v>
      </c>
      <c r="M60" s="88"/>
      <c r="N60" s="88"/>
      <c r="O60" s="88"/>
    </row>
    <row r="61" spans="1:15" s="470" customFormat="1">
      <c r="A61" s="218"/>
      <c r="B61" s="88"/>
      <c r="C61" s="88"/>
      <c r="D61" s="89"/>
      <c r="E61" s="255"/>
      <c r="F61" s="88"/>
      <c r="G61" s="88"/>
      <c r="H61" s="277">
        <v>18000</v>
      </c>
      <c r="I61" s="90"/>
      <c r="J61" s="88"/>
      <c r="K61" s="277" t="s">
        <v>35</v>
      </c>
      <c r="M61" s="88"/>
      <c r="N61" s="88"/>
      <c r="O61" s="88"/>
    </row>
    <row r="62" spans="1:15" s="470" customFormat="1">
      <c r="A62" s="218"/>
      <c r="B62" s="88"/>
      <c r="C62" s="88"/>
      <c r="D62" s="89"/>
      <c r="E62" s="255"/>
      <c r="F62" s="88"/>
      <c r="G62" s="88"/>
      <c r="H62" s="277">
        <v>12000</v>
      </c>
      <c r="I62" s="90"/>
      <c r="J62" s="88"/>
      <c r="K62" s="277" t="s">
        <v>34</v>
      </c>
      <c r="M62" s="88"/>
      <c r="N62" s="88"/>
      <c r="O62" s="88"/>
    </row>
    <row r="63" spans="1:15" s="470" customFormat="1">
      <c r="A63" s="218"/>
      <c r="B63" s="88"/>
      <c r="C63" s="88"/>
      <c r="D63" s="89"/>
      <c r="E63" s="255"/>
      <c r="F63" s="88"/>
      <c r="G63" s="88"/>
      <c r="H63" s="277">
        <v>10000</v>
      </c>
      <c r="I63" s="90"/>
      <c r="J63" s="88"/>
      <c r="K63" s="277" t="s">
        <v>33</v>
      </c>
      <c r="M63" s="88"/>
      <c r="N63" s="88"/>
      <c r="O63" s="88"/>
    </row>
    <row r="64" spans="1:15" s="470" customFormat="1">
      <c r="A64" s="218"/>
      <c r="B64" s="88"/>
      <c r="C64" s="88"/>
      <c r="D64" s="89"/>
      <c r="E64" s="255"/>
      <c r="F64" s="88"/>
      <c r="G64" s="88"/>
      <c r="H64" s="277">
        <v>9000</v>
      </c>
      <c r="I64" s="90"/>
      <c r="J64" s="88"/>
      <c r="K64" s="277" t="s">
        <v>36</v>
      </c>
      <c r="M64" s="88"/>
      <c r="N64" s="88"/>
      <c r="O64" s="88"/>
    </row>
    <row r="65" spans="1:15" s="470" customFormat="1">
      <c r="A65" s="218"/>
      <c r="B65" s="88"/>
      <c r="C65" s="88"/>
      <c r="D65" s="89"/>
      <c r="E65" s="255"/>
      <c r="F65" s="88"/>
      <c r="G65" s="88"/>
      <c r="H65" s="277">
        <v>4000</v>
      </c>
      <c r="I65" s="90"/>
      <c r="J65" s="88"/>
      <c r="K65" s="277" t="s">
        <v>37</v>
      </c>
      <c r="M65" s="88"/>
      <c r="N65" s="88"/>
      <c r="O65" s="88"/>
    </row>
    <row r="66" spans="1:15" s="470" customFormat="1">
      <c r="A66" s="218"/>
      <c r="B66" s="88"/>
      <c r="C66" s="88"/>
      <c r="D66" s="89"/>
      <c r="E66" s="255"/>
      <c r="F66" s="88"/>
      <c r="G66" s="88"/>
      <c r="H66" s="277">
        <v>2000</v>
      </c>
      <c r="I66" s="90"/>
      <c r="J66" s="88"/>
      <c r="K66" s="277" t="s">
        <v>38</v>
      </c>
      <c r="M66" s="88"/>
      <c r="N66" s="88"/>
      <c r="O66" s="88"/>
    </row>
    <row r="67" spans="1:15" s="470" customFormat="1">
      <c r="A67" s="218"/>
      <c r="B67" s="88"/>
      <c r="C67" s="88"/>
      <c r="D67" s="89"/>
      <c r="E67" s="255"/>
      <c r="F67" s="88"/>
      <c r="G67" s="88"/>
      <c r="H67" s="277">
        <v>6000</v>
      </c>
      <c r="I67" s="90"/>
      <c r="J67" s="88"/>
      <c r="K67" s="277" t="s">
        <v>39</v>
      </c>
      <c r="M67" s="88"/>
      <c r="N67" s="88"/>
      <c r="O67" s="88"/>
    </row>
    <row r="68" spans="1:15" s="470" customFormat="1">
      <c r="A68" s="218"/>
      <c r="B68" s="88"/>
      <c r="C68" s="88"/>
      <c r="D68" s="89"/>
      <c r="E68" s="255"/>
      <c r="F68" s="88"/>
      <c r="G68" s="88"/>
      <c r="H68" s="277">
        <v>4300</v>
      </c>
      <c r="I68" s="90"/>
      <c r="J68" s="88"/>
      <c r="K68" s="277" t="s">
        <v>40</v>
      </c>
      <c r="M68" s="88"/>
      <c r="N68" s="88"/>
      <c r="O68" s="88"/>
    </row>
    <row r="69" spans="1:15" s="470" customFormat="1">
      <c r="A69" s="218"/>
      <c r="B69" s="88"/>
      <c r="C69" s="88"/>
      <c r="D69" s="89"/>
      <c r="E69" s="255"/>
      <c r="F69" s="88"/>
      <c r="G69" s="88"/>
      <c r="H69" s="277">
        <v>700</v>
      </c>
      <c r="I69" s="90"/>
      <c r="J69" s="88"/>
      <c r="K69" s="277" t="s">
        <v>41</v>
      </c>
      <c r="M69" s="88"/>
      <c r="N69" s="88"/>
      <c r="O69" s="88"/>
    </row>
  </sheetData>
  <sortState ref="A2:O48">
    <sortCondition ref="G2:G48"/>
  </sortState>
  <dataValidations count="1">
    <dataValidation type="list" allowBlank="1" showInputMessage="1" showErrorMessage="1" sqref="K2:K48">
      <formula1>$K$53:$K$69</formula1>
    </dataValidation>
  </dataValidations>
  <pageMargins left="0.7" right="0.7" top="0.75" bottom="0.75" header="0.3" footer="0.3"/>
  <pageSetup paperSize="9" orientation="portrait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Conventions!$A$12:$A$44</xm:f>
          </x14:formula1>
          <xm:sqref>G2:G48</xm:sqref>
        </x14:dataValidation>
        <x14:dataValidation type="list" allowBlank="1" showInputMessage="1" showErrorMessage="1">
          <x14:formula1>
            <xm:f>Conventions!$A$46:$A$57</xm:f>
          </x14:formula1>
          <xm:sqref>H2:H48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Content List</vt:lpstr>
      <vt:lpstr>0 - 990-pg1</vt:lpstr>
      <vt:lpstr>1 - Cashflow</vt:lpstr>
      <vt:lpstr>2a - Balance</vt:lpstr>
      <vt:lpstr>2b - Monthly Balance</vt:lpstr>
      <vt:lpstr>3 - Grants</vt:lpstr>
      <vt:lpstr>4 - Monthly Pgm Exp</vt:lpstr>
      <vt:lpstr>5 - P&amp;L Summary</vt:lpstr>
      <vt:lpstr>6 - P&amp;L Program Detail</vt:lpstr>
      <vt:lpstr>7 - Detailed Revenue</vt:lpstr>
      <vt:lpstr>8 - Detailed Expenses</vt:lpstr>
      <vt:lpstr>9 - Beijing Co expenses</vt:lpstr>
      <vt:lpstr>10 - Salary &amp; Benefits Detail</vt:lpstr>
      <vt:lpstr>11 - 2013 Bank Balance</vt:lpstr>
      <vt:lpstr>12 - Equity Statement</vt:lpstr>
      <vt:lpstr>CALC CHECKS</vt:lpstr>
      <vt:lpstr>FF Grant Reports Feb13-Jan14</vt:lpstr>
      <vt:lpstr>GRANT REPORT 2013</vt:lpstr>
      <vt:lpstr>Conventions</vt:lpstr>
      <vt:lpstr>Expenses Jan 2014 only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Apple XXX</cp:lastModifiedBy>
  <cp:revision/>
  <cp:lastPrinted>2014-04-09T11:42:54Z</cp:lastPrinted>
  <dcterms:created xsi:type="dcterms:W3CDTF">2011-10-09T08:45:13Z</dcterms:created>
  <dcterms:modified xsi:type="dcterms:W3CDTF">2014-05-14T05:43:50Z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2052-8.1.0.2998</vt:lpwstr>
  </property>
</Properties>
</file>